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LI 2019" sheetId="1" r:id="rId1"/>
    <sheet name="7b LDF" sheetId="3" r:id="rId2"/>
    <sheet name="7c LDF" sheetId="2" r:id="rId3"/>
  </sheets>
  <definedNames>
    <definedName name="_xlnm.Print_Area" localSheetId="1">'7b LDF'!$B$1:$I$38</definedName>
    <definedName name="_xlnm.Print_Area" localSheetId="2">'7c LDF'!$B$1:$J$39</definedName>
    <definedName name="_xlnm.Print_Area" localSheetId="0">'LI 2019'!$B$1:$I$127</definedName>
    <definedName name="_xlnm.Print_Titles" localSheetId="0">'LI 2019'!$2:$3</definedName>
  </definedNames>
  <calcPr calcId="144525"/>
</workbook>
</file>

<file path=xl/calcChain.xml><?xml version="1.0" encoding="utf-8"?>
<calcChain xmlns="http://schemas.openxmlformats.org/spreadsheetml/2006/main">
  <c r="E113" i="1" l="1"/>
  <c r="N116" i="1"/>
  <c r="I30" i="3" l="1"/>
  <c r="H30" i="3"/>
  <c r="G30" i="3"/>
  <c r="F30" i="3"/>
  <c r="E30" i="3"/>
  <c r="D30" i="3"/>
  <c r="D24" i="3"/>
  <c r="D20" i="3"/>
  <c r="D17" i="3"/>
  <c r="E17" i="3" s="1"/>
  <c r="F17" i="3" s="1"/>
  <c r="G17" i="3" s="1"/>
  <c r="H17" i="3" s="1"/>
  <c r="I17" i="3" s="1"/>
  <c r="D16" i="3"/>
  <c r="E16" i="3" s="1"/>
  <c r="F16" i="3" s="1"/>
  <c r="G16" i="3" s="1"/>
  <c r="H16" i="3" s="1"/>
  <c r="I16" i="3" s="1"/>
  <c r="D14" i="3"/>
  <c r="E14" i="3" s="1"/>
  <c r="F14" i="3" s="1"/>
  <c r="G14" i="3" s="1"/>
  <c r="H14" i="3" s="1"/>
  <c r="I14" i="3" s="1"/>
  <c r="D13" i="3"/>
  <c r="E13" i="3" s="1"/>
  <c r="F13" i="3" s="1"/>
  <c r="G13" i="3" s="1"/>
  <c r="H13" i="3" s="1"/>
  <c r="I13" i="3" s="1"/>
  <c r="D12" i="3"/>
  <c r="E12" i="3" s="1"/>
  <c r="F12" i="3" s="1"/>
  <c r="G12" i="3" s="1"/>
  <c r="H12" i="3" s="1"/>
  <c r="I12" i="3" s="1"/>
  <c r="D11" i="3"/>
  <c r="E11" i="3" s="1"/>
  <c r="F11" i="3" s="1"/>
  <c r="G11" i="3" s="1"/>
  <c r="H11" i="3" s="1"/>
  <c r="I11" i="3" s="1"/>
  <c r="I10" i="3"/>
  <c r="D9" i="3"/>
  <c r="E9" i="3" s="1"/>
  <c r="D38" i="2"/>
  <c r="J30" i="2"/>
  <c r="I30" i="2"/>
  <c r="H30" i="2"/>
  <c r="G30" i="2"/>
  <c r="F30" i="2"/>
  <c r="E30" i="2"/>
  <c r="D30" i="2"/>
  <c r="J24" i="2"/>
  <c r="G24" i="2"/>
  <c r="I22" i="2"/>
  <c r="H22" i="2"/>
  <c r="G22" i="2"/>
  <c r="F22" i="2"/>
  <c r="E22" i="2"/>
  <c r="D22" i="2"/>
  <c r="J20" i="2"/>
  <c r="J17" i="2"/>
  <c r="H17" i="2"/>
  <c r="H14" i="2" s="1"/>
  <c r="H7" i="2" s="1"/>
  <c r="H33" i="2" s="1"/>
  <c r="J16" i="2"/>
  <c r="G16" i="2"/>
  <c r="J14" i="2"/>
  <c r="G14" i="2"/>
  <c r="F14" i="2"/>
  <c r="E14" i="2"/>
  <c r="D14" i="2"/>
  <c r="D7" i="2" s="1"/>
  <c r="D33" i="2" s="1"/>
  <c r="J13" i="2"/>
  <c r="J12" i="2"/>
  <c r="J11" i="2"/>
  <c r="J9" i="2"/>
  <c r="J7" i="2" s="1"/>
  <c r="I7" i="2"/>
  <c r="I33" i="2" s="1"/>
  <c r="G7" i="2"/>
  <c r="G33" i="2" s="1"/>
  <c r="F7" i="2"/>
  <c r="F33" i="2" s="1"/>
  <c r="E7" i="2"/>
  <c r="E33" i="2" s="1"/>
  <c r="D127" i="1"/>
  <c r="J127" i="1" s="1"/>
  <c r="K127" i="1" s="1"/>
  <c r="D126" i="1"/>
  <c r="J126" i="1" s="1"/>
  <c r="I125" i="1"/>
  <c r="H125" i="1"/>
  <c r="G125" i="1"/>
  <c r="E125" i="1"/>
  <c r="E124" i="1"/>
  <c r="J124" i="1" s="1"/>
  <c r="E123" i="1"/>
  <c r="D122" i="1"/>
  <c r="D121" i="1"/>
  <c r="D120" i="1"/>
  <c r="D119" i="1"/>
  <c r="D118" i="1"/>
  <c r="D117" i="1"/>
  <c r="E116" i="1"/>
  <c r="J113" i="1"/>
  <c r="K113" i="1" s="1"/>
  <c r="J25" i="2"/>
  <c r="D25" i="3" s="1"/>
  <c r="E25" i="3" s="1"/>
  <c r="F25" i="3" s="1"/>
  <c r="G25" i="3" s="1"/>
  <c r="H25" i="3" s="1"/>
  <c r="I25" i="3" s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H104" i="1"/>
  <c r="G104" i="1"/>
  <c r="E104" i="1"/>
  <c r="J104" i="1" s="1"/>
  <c r="K104" i="1" s="1"/>
  <c r="J103" i="1"/>
  <c r="K103" i="1" s="1"/>
  <c r="D103" i="1"/>
  <c r="D102" i="1"/>
  <c r="J102" i="1" s="1"/>
  <c r="K102" i="1" s="1"/>
  <c r="J101" i="1"/>
  <c r="K101" i="1" s="1"/>
  <c r="D101" i="1"/>
  <c r="D100" i="1"/>
  <c r="J100" i="1" s="1"/>
  <c r="K100" i="1" s="1"/>
  <c r="J99" i="1"/>
  <c r="K99" i="1" s="1"/>
  <c r="D99" i="1"/>
  <c r="D98" i="1"/>
  <c r="J98" i="1" s="1"/>
  <c r="K98" i="1" s="1"/>
  <c r="J97" i="1"/>
  <c r="K97" i="1" s="1"/>
  <c r="D97" i="1"/>
  <c r="D96" i="1"/>
  <c r="J96" i="1" s="1"/>
  <c r="K96" i="1" s="1"/>
  <c r="J95" i="1"/>
  <c r="K95" i="1" s="1"/>
  <c r="D95" i="1"/>
  <c r="D94" i="1"/>
  <c r="E93" i="1" s="1"/>
  <c r="H93" i="1"/>
  <c r="G93" i="1"/>
  <c r="G92" i="1" s="1"/>
  <c r="H92" i="1"/>
  <c r="J90" i="1"/>
  <c r="H90" i="1"/>
  <c r="G90" i="1"/>
  <c r="E89" i="1"/>
  <c r="J89" i="1" s="1"/>
  <c r="K89" i="1" s="1"/>
  <c r="D88" i="1"/>
  <c r="J88" i="1" s="1"/>
  <c r="J87" i="1"/>
  <c r="K87" i="1" s="1"/>
  <c r="D87" i="1"/>
  <c r="D86" i="1"/>
  <c r="J86" i="1" s="1"/>
  <c r="K86" i="1" s="1"/>
  <c r="J85" i="1"/>
  <c r="H84" i="1"/>
  <c r="G84" i="1"/>
  <c r="E84" i="1"/>
  <c r="J84" i="1" s="1"/>
  <c r="K84" i="1" s="1"/>
  <c r="J83" i="1"/>
  <c r="K83" i="1" s="1"/>
  <c r="D83" i="1"/>
  <c r="D82" i="1"/>
  <c r="J82" i="1" s="1"/>
  <c r="K82" i="1" s="1"/>
  <c r="J81" i="1"/>
  <c r="K81" i="1" s="1"/>
  <c r="D81" i="1"/>
  <c r="H80" i="1"/>
  <c r="H78" i="1" s="1"/>
  <c r="G80" i="1"/>
  <c r="E80" i="1"/>
  <c r="J80" i="1" s="1"/>
  <c r="K80" i="1" s="1"/>
  <c r="G78" i="1"/>
  <c r="J76" i="1"/>
  <c r="D76" i="1"/>
  <c r="D75" i="1"/>
  <c r="J75" i="1" s="1"/>
  <c r="K75" i="1" s="1"/>
  <c r="D74" i="1"/>
  <c r="J74" i="1" s="1"/>
  <c r="D73" i="1"/>
  <c r="J73" i="1" s="1"/>
  <c r="J72" i="1"/>
  <c r="K72" i="1" s="1"/>
  <c r="D72" i="1"/>
  <c r="J71" i="1"/>
  <c r="D71" i="1"/>
  <c r="D70" i="1"/>
  <c r="J70" i="1" s="1"/>
  <c r="K70" i="1" s="1"/>
  <c r="D69" i="1"/>
  <c r="D68" i="1"/>
  <c r="D67" i="1"/>
  <c r="D66" i="1"/>
  <c r="D65" i="1"/>
  <c r="D64" i="1"/>
  <c r="D63" i="1"/>
  <c r="D62" i="1"/>
  <c r="D61" i="1"/>
  <c r="D60" i="1"/>
  <c r="J59" i="1"/>
  <c r="K59" i="1" s="1"/>
  <c r="E59" i="1"/>
  <c r="H58" i="1"/>
  <c r="G58" i="1"/>
  <c r="E58" i="1"/>
  <c r="J58" i="1" s="1"/>
  <c r="K58" i="1" s="1"/>
  <c r="E56" i="1"/>
  <c r="J56" i="1" s="1"/>
  <c r="J55" i="1"/>
  <c r="K55" i="1" s="1"/>
  <c r="E55" i="1"/>
  <c r="D54" i="1"/>
  <c r="D53" i="1"/>
  <c r="J53" i="1" s="1"/>
  <c r="J52" i="1"/>
  <c r="K52" i="1" s="1"/>
  <c r="D52" i="1"/>
  <c r="D51" i="1"/>
  <c r="J51" i="1" s="1"/>
  <c r="K51" i="1" s="1"/>
  <c r="J50" i="1"/>
  <c r="K50" i="1" s="1"/>
  <c r="D50" i="1"/>
  <c r="D49" i="1"/>
  <c r="J49" i="1" s="1"/>
  <c r="K49" i="1" s="1"/>
  <c r="J48" i="1"/>
  <c r="K48" i="1" s="1"/>
  <c r="D48" i="1"/>
  <c r="D47" i="1"/>
  <c r="J47" i="1" s="1"/>
  <c r="K47" i="1" s="1"/>
  <c r="J46" i="1"/>
  <c r="K46" i="1" s="1"/>
  <c r="D46" i="1"/>
  <c r="D45" i="1"/>
  <c r="J45" i="1" s="1"/>
  <c r="K45" i="1" s="1"/>
  <c r="J44" i="1"/>
  <c r="K44" i="1" s="1"/>
  <c r="D44" i="1"/>
  <c r="D43" i="1"/>
  <c r="J43" i="1" s="1"/>
  <c r="K43" i="1" s="1"/>
  <c r="J42" i="1"/>
  <c r="K42" i="1" s="1"/>
  <c r="H42" i="1"/>
  <c r="G42" i="1"/>
  <c r="D42" i="1"/>
  <c r="D41" i="1"/>
  <c r="J41" i="1" s="1"/>
  <c r="K41" i="1" s="1"/>
  <c r="J40" i="1"/>
  <c r="K40" i="1" s="1"/>
  <c r="D40" i="1"/>
  <c r="D39" i="1"/>
  <c r="J39" i="1" s="1"/>
  <c r="K39" i="1" s="1"/>
  <c r="H38" i="1"/>
  <c r="G38" i="1"/>
  <c r="G35" i="1" s="1"/>
  <c r="H35" i="1"/>
  <c r="D33" i="1"/>
  <c r="J33" i="1" s="1"/>
  <c r="D32" i="1"/>
  <c r="J32" i="1" s="1"/>
  <c r="D31" i="1"/>
  <c r="J31" i="1" s="1"/>
  <c r="J30" i="1"/>
  <c r="K30" i="1" s="1"/>
  <c r="D30" i="1"/>
  <c r="E29" i="1" s="1"/>
  <c r="E28" i="1" s="1"/>
  <c r="I29" i="1"/>
  <c r="H29" i="1"/>
  <c r="G29" i="1"/>
  <c r="H28" i="1"/>
  <c r="G28" i="1"/>
  <c r="J27" i="1"/>
  <c r="D25" i="1"/>
  <c r="D24" i="1"/>
  <c r="E23" i="1"/>
  <c r="E22" i="1"/>
  <c r="J22" i="1" s="1"/>
  <c r="J21" i="1"/>
  <c r="K21" i="1" s="1"/>
  <c r="D21" i="1"/>
  <c r="D20" i="1"/>
  <c r="J20" i="1" s="1"/>
  <c r="K20" i="1" s="1"/>
  <c r="J19" i="1"/>
  <c r="K19" i="1" s="1"/>
  <c r="D19" i="1"/>
  <c r="D18" i="1"/>
  <c r="J18" i="1" s="1"/>
  <c r="K18" i="1" s="1"/>
  <c r="R17" i="1"/>
  <c r="H17" i="1"/>
  <c r="G17" i="1"/>
  <c r="J17" i="1" s="1"/>
  <c r="K17" i="1" s="1"/>
  <c r="E17" i="1"/>
  <c r="N16" i="1"/>
  <c r="D16" i="1"/>
  <c r="J16" i="1" s="1"/>
  <c r="K16" i="1" s="1"/>
  <c r="N15" i="1"/>
  <c r="H15" i="1"/>
  <c r="G15" i="1"/>
  <c r="N14" i="1"/>
  <c r="N13" i="1"/>
  <c r="D13" i="1"/>
  <c r="J13" i="1" s="1"/>
  <c r="K13" i="1" s="1"/>
  <c r="N12" i="1"/>
  <c r="H12" i="1"/>
  <c r="G12" i="1"/>
  <c r="J11" i="1"/>
  <c r="K11" i="1" s="1"/>
  <c r="D11" i="1"/>
  <c r="J10" i="1"/>
  <c r="K10" i="1" s="1"/>
  <c r="D10" i="1"/>
  <c r="O9" i="1"/>
  <c r="R9" i="1" s="1"/>
  <c r="H9" i="1"/>
  <c r="G9" i="1"/>
  <c r="J9" i="1" s="1"/>
  <c r="K9" i="1" s="1"/>
  <c r="E9" i="1"/>
  <c r="O8" i="1"/>
  <c r="R8" i="1" s="1"/>
  <c r="J8" i="1"/>
  <c r="K8" i="1" s="1"/>
  <c r="D8" i="1"/>
  <c r="J7" i="1"/>
  <c r="K7" i="1" s="1"/>
  <c r="H7" i="1"/>
  <c r="G7" i="1"/>
  <c r="G6" i="1" s="1"/>
  <c r="E7" i="1"/>
  <c r="H6" i="1"/>
  <c r="J22" i="2" l="1"/>
  <c r="J33" i="2" s="1"/>
  <c r="D7" i="3"/>
  <c r="D22" i="3"/>
  <c r="F9" i="3"/>
  <c r="E7" i="3"/>
  <c r="E24" i="3"/>
  <c r="H5" i="1"/>
  <c r="R7" i="1"/>
  <c r="O7" i="1"/>
  <c r="J93" i="1"/>
  <c r="K93" i="1" s="1"/>
  <c r="E92" i="1"/>
  <c r="J92" i="1" s="1"/>
  <c r="K92" i="1" s="1"/>
  <c r="K126" i="1"/>
  <c r="J125" i="1"/>
  <c r="K125" i="1" s="1"/>
  <c r="J28" i="1"/>
  <c r="K28" i="1" s="1"/>
  <c r="O13" i="1"/>
  <c r="G5" i="1"/>
  <c r="R6" i="1"/>
  <c r="R11" i="1" s="1"/>
  <c r="S9" i="1" s="1"/>
  <c r="E12" i="1"/>
  <c r="O15" i="1"/>
  <c r="J29" i="1"/>
  <c r="K29" i="1" s="1"/>
  <c r="E38" i="1"/>
  <c r="E35" i="1" s="1"/>
  <c r="J94" i="1"/>
  <c r="K94" i="1" s="1"/>
  <c r="E15" i="1"/>
  <c r="J15" i="1" s="1"/>
  <c r="K15" i="1" s="1"/>
  <c r="E78" i="1"/>
  <c r="D33" i="3" l="1"/>
  <c r="E22" i="3"/>
  <c r="F24" i="3"/>
  <c r="E33" i="3"/>
  <c r="F7" i="3"/>
  <c r="G9" i="3"/>
  <c r="O16" i="1"/>
  <c r="J78" i="1"/>
  <c r="K78" i="1" s="1"/>
  <c r="S15" i="1"/>
  <c r="U15" i="1"/>
  <c r="V15" i="1" s="1"/>
  <c r="U13" i="1"/>
  <c r="V13" i="1" s="1"/>
  <c r="S13" i="1"/>
  <c r="J35" i="1"/>
  <c r="K35" i="1" s="1"/>
  <c r="O14" i="1"/>
  <c r="E6" i="1"/>
  <c r="J12" i="1"/>
  <c r="K12" i="1" s="1"/>
  <c r="S7" i="1"/>
  <c r="S10" i="1"/>
  <c r="S11" i="1"/>
  <c r="S8" i="1"/>
  <c r="G24" i="3" l="1"/>
  <c r="F22" i="3"/>
  <c r="F33" i="3" s="1"/>
  <c r="G7" i="3"/>
  <c r="H9" i="3"/>
  <c r="O12" i="1"/>
  <c r="O6" i="1"/>
  <c r="O11" i="1" s="1"/>
  <c r="J6" i="1"/>
  <c r="K6" i="1" s="1"/>
  <c r="E5" i="1"/>
  <c r="J5" i="1" s="1"/>
  <c r="K5" i="1" s="1"/>
  <c r="S14" i="1"/>
  <c r="U14" i="1"/>
  <c r="V14" i="1" s="1"/>
  <c r="U16" i="1"/>
  <c r="V16" i="1" s="1"/>
  <c r="S16" i="1"/>
  <c r="G22" i="3" l="1"/>
  <c r="G33" i="3" s="1"/>
  <c r="H24" i="3"/>
  <c r="I9" i="3"/>
  <c r="I7" i="3" s="1"/>
  <c r="H7" i="3"/>
  <c r="U12" i="1"/>
  <c r="V12" i="1" s="1"/>
  <c r="O17" i="1"/>
  <c r="Q12" i="1"/>
  <c r="S12" i="1"/>
  <c r="H22" i="3" l="1"/>
  <c r="H33" i="3" s="1"/>
  <c r="I24" i="3"/>
  <c r="I22" i="3" s="1"/>
  <c r="I33" i="3" s="1"/>
  <c r="S17" i="1"/>
  <c r="U17" i="1"/>
  <c r="V17" i="1" s="1"/>
  <c r="Q13" i="1"/>
  <c r="Q17" i="1" s="1"/>
  <c r="Q15" i="1"/>
  <c r="Q14" i="1"/>
  <c r="Q16" i="1"/>
</calcChain>
</file>

<file path=xl/comments1.xml><?xml version="1.0" encoding="utf-8"?>
<comments xmlns="http://schemas.openxmlformats.org/spreadsheetml/2006/main">
  <authors>
    <author>Jesus Espino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Jesus Espino:</t>
        </r>
        <r>
          <rPr>
            <sz val="9"/>
            <color indexed="81"/>
            <rFont val="Tahoma"/>
            <family val="2"/>
          </rPr>
          <t xml:space="preserve">
SE ESTIMAN 1,230,000,000 DE IMPUESTO ECOLÓGICO</t>
        </r>
      </text>
    </comment>
  </commentList>
</comments>
</file>

<file path=xl/sharedStrings.xml><?xml version="1.0" encoding="utf-8"?>
<sst xmlns="http://schemas.openxmlformats.org/spreadsheetml/2006/main" count="321" uniqueCount="259">
  <si>
    <t>LEY DE INGRESOS 2018</t>
  </si>
  <si>
    <t>CIERRE ESTIMADO 2017</t>
  </si>
  <si>
    <t>LEY DE INGRESOS 2018 / PROYECCIÓN DE LEY DE INGRESOS 2019</t>
  </si>
  <si>
    <t>ABSOLUTA</t>
  </si>
  <si>
    <t>RELATIVA</t>
  </si>
  <si>
    <t>No.</t>
  </si>
  <si>
    <t>CONCEPTO</t>
  </si>
  <si>
    <t>IMPORTE</t>
  </si>
  <si>
    <t>IMPUESTOS</t>
  </si>
  <si>
    <t>INGRESOS PROPIOS</t>
  </si>
  <si>
    <t>3 Mil 511 millones de pesos</t>
  </si>
  <si>
    <t>IMPUESTO SOBRE LOS INGRESOS</t>
  </si>
  <si>
    <t>PARTICIPACIONES E INCENTIVOS</t>
  </si>
  <si>
    <t>11 mil 497 millones de pesos</t>
  </si>
  <si>
    <t>1.1.1</t>
  </si>
  <si>
    <t xml:space="preserve">Del Impuesto Sobre Loterías, Rifas, Sorteos, Apuestas, Juegos Permitidos y Concursos </t>
  </si>
  <si>
    <t>APORTACIONES</t>
  </si>
  <si>
    <t>12 mil 751 millones de pesos</t>
  </si>
  <si>
    <t>IMPUESTO SOBRE EL PATRIMONIO</t>
  </si>
  <si>
    <t>CONVENIOS Y ASIGNACIONES</t>
  </si>
  <si>
    <t>4 mil 673 millones de pesos</t>
  </si>
  <si>
    <t>1.2.1</t>
  </si>
  <si>
    <t>Impuesto Sobre Adquisición de Bienes Muebles</t>
  </si>
  <si>
    <t>1.2.2</t>
  </si>
  <si>
    <t xml:space="preserve">Impuesto Sobre Tenencia o Uso de Vehículos </t>
  </si>
  <si>
    <t>Total de Ingresos para 2019</t>
  </si>
  <si>
    <t>32 mil 433 millones de pesos</t>
  </si>
  <si>
    <t>IMPUESTO SOBRE PRODUCCION, EL CONSUMO Y TRANSACCIONES</t>
  </si>
  <si>
    <t>1.3.1</t>
  </si>
  <si>
    <t>Del Impuesto Sobre Servicios de Hospedaje</t>
  </si>
  <si>
    <t>IMPUESTOS AL COMERCIO EXTERIOR</t>
  </si>
  <si>
    <t>IMPUESTO SOBRE NÓMINAS Y ASIMILABLES</t>
  </si>
  <si>
    <t>1.5.1</t>
  </si>
  <si>
    <t xml:space="preserve">Impuesto Sobre Nóminas </t>
  </si>
  <si>
    <t>IMPUESTOS ECOLÓGICOS</t>
  </si>
  <si>
    <t>1.6.1</t>
  </si>
  <si>
    <t>Del Impuesto Por Remediación Ambiental en la Extracción de Materiales</t>
  </si>
  <si>
    <t>1.6.2</t>
  </si>
  <si>
    <t>Impuesto De la Emisión de Gases a la Atmósfera</t>
  </si>
  <si>
    <t>1.6.3</t>
  </si>
  <si>
    <t>Impuesto De la Emisión de Contaminantes al Suelo, Subsuelo y Agua</t>
  </si>
  <si>
    <t>1.6.4</t>
  </si>
  <si>
    <t>Impuesto Al Depósito o Almacenamiento de Residuos</t>
  </si>
  <si>
    <t>ACCESORIOS IMPUESTOS</t>
  </si>
  <si>
    <t>OTROS IMPUESTOS</t>
  </si>
  <si>
    <t>1.8.1</t>
  </si>
  <si>
    <t>Del Impuesto Adicional Para la Infraestructura</t>
  </si>
  <si>
    <t>1.8.2</t>
  </si>
  <si>
    <t>Del Impuesto Para la Universidad Autónoma de Zacatecas</t>
  </si>
  <si>
    <t>IMPUESTOS NO COMPRENDIDOS EN LA LEY DE INGRESOS VIGENTE CAUSADOS EN EJERCICIOS FISCALES ANTERIORES PENDIENTES DE LIQUIDACIÓN O PAGO</t>
  </si>
  <si>
    <t>CONTRIBUCIONES Y APORTACIONES DE SEGURIDAD SOCIAL</t>
  </si>
  <si>
    <t>CONTRIBUCIONES Y MEJORAS</t>
  </si>
  <si>
    <t>Contribuciones y Mejoras para Obras Públicas</t>
  </si>
  <si>
    <t>3.1.1</t>
  </si>
  <si>
    <t>Programa 3 X1 Para Migrantes</t>
  </si>
  <si>
    <t>3.1.2</t>
  </si>
  <si>
    <t>(Proagua), Apartado Rural (Aparural)</t>
  </si>
  <si>
    <t>3.1.3</t>
  </si>
  <si>
    <t>(Proagua), Apartado Urbano (Apaur)</t>
  </si>
  <si>
    <t>3.1.4</t>
  </si>
  <si>
    <t>Aportación Escuelas</t>
  </si>
  <si>
    <t>Contribuciones y Mejoras para Obras Públicas no comprendidas en la Ley Vigente, causadas en ejercicios fiscales Anteriores pendientes de liquidación o Pagos</t>
  </si>
  <si>
    <t>DERECHOS</t>
  </si>
  <si>
    <t>DERECHOS POR EL USO, GOCE, APROVECHAMIENTO O EXPLOTACIÓN DE BIENES DE DOMINIO PÚBLICO</t>
  </si>
  <si>
    <t>DERECHOS SOBRE HIDROCARBUROS</t>
  </si>
  <si>
    <t>DERECHOS SOBRE PRESTACIÓN DE SERVICIOS</t>
  </si>
  <si>
    <t>4.3.1</t>
  </si>
  <si>
    <t>Secretaría General de Gobierno</t>
  </si>
  <si>
    <t>4.3.2</t>
  </si>
  <si>
    <t>Coordinación General Jurídica</t>
  </si>
  <si>
    <t>4.3.3</t>
  </si>
  <si>
    <t>Secretaría de Finanzas</t>
  </si>
  <si>
    <t>Relacionados con Plaqueo</t>
  </si>
  <si>
    <t>Control Vehicular</t>
  </si>
  <si>
    <t>Catastro</t>
  </si>
  <si>
    <t>Registro Público</t>
  </si>
  <si>
    <t>Der s/ley de Bebidas Alcohólicas</t>
  </si>
  <si>
    <t>4.3.4</t>
  </si>
  <si>
    <t>Secretaría de Obras Públicas</t>
  </si>
  <si>
    <t>4.3.5</t>
  </si>
  <si>
    <t>Secretaría de la Función Pública</t>
  </si>
  <si>
    <t>4.3.6</t>
  </si>
  <si>
    <t>Secretaría de Educación</t>
  </si>
  <si>
    <t>4.3.7</t>
  </si>
  <si>
    <t>Secretaría del Agua y Medio Ambiente</t>
  </si>
  <si>
    <t>4.3.8</t>
  </si>
  <si>
    <t>Secretaría de Seguridad Pública</t>
  </si>
  <si>
    <t>4.3.9</t>
  </si>
  <si>
    <t>Secretaría de Administración</t>
  </si>
  <si>
    <t>4.3.10</t>
  </si>
  <si>
    <t>Organismos Públicos Desconcentrados</t>
  </si>
  <si>
    <t>OTROS DERECHOS</t>
  </si>
  <si>
    <t>ACCESORIOS DE DERECHOS</t>
  </si>
  <si>
    <t>DERECHOS NO COMPRENDIDOS EN LA LEY DE INGRESOS VIGENTE CAUSADOS EN EJERCICIOS FISCALES ANTERIORES PENDIENTES DE LIQUIDACIÓN O PAGO</t>
  </si>
  <si>
    <t>PRODUCTOS</t>
  </si>
  <si>
    <t>5.1.1</t>
  </si>
  <si>
    <t>Arrendamiento de Bienes Inmuebles</t>
  </si>
  <si>
    <t>5.1.2</t>
  </si>
  <si>
    <t>Arrendamiento de Palacio de Convenciones</t>
  </si>
  <si>
    <t>5.1.3</t>
  </si>
  <si>
    <t>Concesión de la Tirolesa</t>
  </si>
  <si>
    <t>5.1.4</t>
  </si>
  <si>
    <t>Adjudicación de Bienes inmuebles</t>
  </si>
  <si>
    <t>5.1.5</t>
  </si>
  <si>
    <t>Arrendamiento Centro Platero</t>
  </si>
  <si>
    <t>5.1.6</t>
  </si>
  <si>
    <t>Contraprest Por Explotacion De Concesion</t>
  </si>
  <si>
    <t>5.1.7</t>
  </si>
  <si>
    <t>Recuperaciónes de maquinaria pesada</t>
  </si>
  <si>
    <t>5.1.8</t>
  </si>
  <si>
    <t>Capitales y Valores del Estado</t>
  </si>
  <si>
    <t>5.1.09</t>
  </si>
  <si>
    <t>Patrocinios</t>
  </si>
  <si>
    <t>5.1.10</t>
  </si>
  <si>
    <t>Otros Productos</t>
  </si>
  <si>
    <t>5.3.1</t>
  </si>
  <si>
    <t>Papel Especial</t>
  </si>
  <si>
    <t>5.3.2</t>
  </si>
  <si>
    <t>5.3.3</t>
  </si>
  <si>
    <t>Periódico Oficial</t>
  </si>
  <si>
    <t>5.3.4</t>
  </si>
  <si>
    <t>Aviso Judicial Administrativo, Edicto, Notificación</t>
  </si>
  <si>
    <t>5.3.5</t>
  </si>
  <si>
    <t>Venta de Bases</t>
  </si>
  <si>
    <t>5.3.6</t>
  </si>
  <si>
    <t>5.3.7</t>
  </si>
  <si>
    <t>Aportaciones para la FENAZA</t>
  </si>
  <si>
    <t>PRODUCTOS NO COMPRENDIDOS EN LAS FRACCIONES DE LA LEY DE INGRESOS CAUSADAS EN EJERCICIOS FISCALES ANTERIORES PENDIENTES DE LIQUIDACIÓN O PAGO</t>
  </si>
  <si>
    <t xml:space="preserve"> APROVECHAMIENTOS </t>
  </si>
  <si>
    <t>APROVECHAMIENTOS CORRIENTES</t>
  </si>
  <si>
    <t>6.1.1</t>
  </si>
  <si>
    <t>Multas</t>
  </si>
  <si>
    <t>6.1.2</t>
  </si>
  <si>
    <t>Indemnizaciones</t>
  </si>
  <si>
    <t>6.1.3</t>
  </si>
  <si>
    <t>Reintegros</t>
  </si>
  <si>
    <t>ACCESORIOS</t>
  </si>
  <si>
    <t>6.3.1</t>
  </si>
  <si>
    <t>Honorarios</t>
  </si>
  <si>
    <t>6.3.2</t>
  </si>
  <si>
    <t>Gastos de Ejecución</t>
  </si>
  <si>
    <t>6.3.3</t>
  </si>
  <si>
    <t>Recargos</t>
  </si>
  <si>
    <t>6.3.4</t>
  </si>
  <si>
    <t>Multas del Estado</t>
  </si>
  <si>
    <t>OTROS APROVECHAMIENTOS</t>
  </si>
  <si>
    <t>APROVECHAMIENTOS NO COMPRENDIDOS EN LAS FRACCIONES DE LA LEY DE INGRESOS CAUSADAS EN EJERCICIOS FISCALES ANTERIORES PENDIENTES DE LIQUIDACIÓN O PAGO</t>
  </si>
  <si>
    <t>INGRESOS POR VENTA DE BIENES Y SERVICIOS</t>
  </si>
  <si>
    <t>PARTICIPACIONES, APORTACIONES, CONVENIOS, INCENTIVOS DERIVADOS DE LA COLABORACIÓN FISCAL, FONDOS DISTINTOS DE LAS APORTACIONES</t>
  </si>
  <si>
    <t>PARTICIPACIONES</t>
  </si>
  <si>
    <t>8.1.1</t>
  </si>
  <si>
    <t xml:space="preserve">Fondo General </t>
  </si>
  <si>
    <t>8.1.2</t>
  </si>
  <si>
    <t>Fondo De Fomento Municipal</t>
  </si>
  <si>
    <t>8.1.3</t>
  </si>
  <si>
    <t>Fondo De Fiscalización</t>
  </si>
  <si>
    <t>8.1.4</t>
  </si>
  <si>
    <t>Fondo de Compensación 10 Entidades Menos PIB</t>
  </si>
  <si>
    <t>8.1.5</t>
  </si>
  <si>
    <t>Impuestos Especial Sobre la Producción y Servicios</t>
  </si>
  <si>
    <t>8.1.6</t>
  </si>
  <si>
    <t>IEPS a la Venta Final Gasolinas y Diesel</t>
  </si>
  <si>
    <t>8.1.7</t>
  </si>
  <si>
    <t>Fondo de Impuesto Sobre la Renta</t>
  </si>
  <si>
    <t>8.1.8</t>
  </si>
  <si>
    <t>Fondo de Compensación Impuesto Sobre Automóviles Nuevos</t>
  </si>
  <si>
    <t>8.1.9</t>
  </si>
  <si>
    <t>Incentivos Impuesto Sobre Automóviles Nuevos</t>
  </si>
  <si>
    <t>8.1.10</t>
  </si>
  <si>
    <t>Fondo de Compensación de RePeCo e Régimen Intermedio</t>
  </si>
  <si>
    <t>8.2.1</t>
  </si>
  <si>
    <t>Fondo  de Aportaciones para  Nómina Educativa y Gasto Operativo (FONE)</t>
  </si>
  <si>
    <t>8.2.2</t>
  </si>
  <si>
    <t>Fondo de Aportación para los Servicios de Salud (FASSA)</t>
  </si>
  <si>
    <t>8.2.3</t>
  </si>
  <si>
    <t>Fondo de Aportaciones para la Infraestructura Social (FAIS)</t>
  </si>
  <si>
    <t>8.2.4</t>
  </si>
  <si>
    <t>Fondo de Aportaciones para el Fortalecimiento para los Municipios (FORTAMUN)</t>
  </si>
  <si>
    <t>8.2.5</t>
  </si>
  <si>
    <t>Fondo de Aportaciones Múltiples (FAM)</t>
  </si>
  <si>
    <t>8.2.6</t>
  </si>
  <si>
    <t>Fondo de Aportaciones para la Educación Tecnológica y de Adultos (FAETA)</t>
  </si>
  <si>
    <t>8.2.7</t>
  </si>
  <si>
    <t>Fondo de Aportaciones para la Seguridad Pública de los Estados (FASP)</t>
  </si>
  <si>
    <t>8.2.8</t>
  </si>
  <si>
    <t>Fondo de Aportaciones para el Fortalecimiento de las Entidades Federativas (FAFEF)</t>
  </si>
  <si>
    <t>8.3.1</t>
  </si>
  <si>
    <t xml:space="preserve">Aportaciones Federales Regularizables </t>
  </si>
  <si>
    <t>8.3.2</t>
  </si>
  <si>
    <t xml:space="preserve">Aportaciones Federales No Regularizables </t>
  </si>
  <si>
    <t>INGRESOS COORDINADOS</t>
  </si>
  <si>
    <t>8.4.1</t>
  </si>
  <si>
    <t xml:space="preserve"> Multas Federales no Fiscales</t>
  </si>
  <si>
    <t>8.4.2</t>
  </si>
  <si>
    <t xml:space="preserve"> Fiscalización Concurrente</t>
  </si>
  <si>
    <t>8.4.3</t>
  </si>
  <si>
    <t xml:space="preserve"> Ganancia por Enajenación de Bienes Inmuebles</t>
  </si>
  <si>
    <t>8.4.4</t>
  </si>
  <si>
    <t xml:space="preserve"> Control de Obligaciones</t>
  </si>
  <si>
    <t>8.4.5</t>
  </si>
  <si>
    <t>Créditos Fiscales</t>
  </si>
  <si>
    <t>8.4.6</t>
  </si>
  <si>
    <t xml:space="preserve"> Régimen de Incorporación Fiscal</t>
  </si>
  <si>
    <t>Fondos Diferentes a Participaciones</t>
  </si>
  <si>
    <t>TRANSFERENCIAS, ASIGNACIONES, SUBSIDIOS Y OTRAS AYUDAS</t>
  </si>
  <si>
    <t>INGRESOS FINANCIEROS</t>
  </si>
  <si>
    <t>INTERESES GANADOS DE VALORES, CRÉDITOS, BONOS Y OTROS</t>
  </si>
  <si>
    <t>FINANCIAMIENTO</t>
  </si>
  <si>
    <t>SECRETARÍA DE FINANZAS DE GOBIERNO DEL ESTADO DE ZACATECAS</t>
  </si>
  <si>
    <t>RESULTADOS DE INGRESOS LEY DE DISCIPLINA FINANCIERA</t>
  </si>
  <si>
    <t>PESOS</t>
  </si>
  <si>
    <t>CIFRAS NOMINALES</t>
  </si>
  <si>
    <t>Año en cuestión</t>
  </si>
  <si>
    <r>
      <t>2018</t>
    </r>
    <r>
      <rPr>
        <b/>
        <vertAlign val="superscript"/>
        <sz val="11"/>
        <color theme="1"/>
        <rFont val="Century Gothic"/>
        <family val="2"/>
      </rPr>
      <t>(1</t>
    </r>
  </si>
  <si>
    <t>Iniciativa de ley 2019</t>
  </si>
  <si>
    <t>1. Ingresos de Libre Disposición</t>
  </si>
  <si>
    <t>(1=A+B+C+D+E+F+G+H+I+J+K+L)</t>
  </si>
  <si>
    <t>A</t>
  </si>
  <si>
    <t>Impuestos</t>
  </si>
  <si>
    <t>B</t>
  </si>
  <si>
    <t>Cuotas y Aportaciones de Seguridad Social</t>
  </si>
  <si>
    <t>C</t>
  </si>
  <si>
    <t>Contribuciones y Mejoras</t>
  </si>
  <si>
    <t>D</t>
  </si>
  <si>
    <t>Derechos</t>
  </si>
  <si>
    <t>E</t>
  </si>
  <si>
    <t>Productos</t>
  </si>
  <si>
    <t>CHACAR CIERRE</t>
  </si>
  <si>
    <t>F</t>
  </si>
  <si>
    <t>Aprovechamientos</t>
  </si>
  <si>
    <t>G</t>
  </si>
  <si>
    <t>Ingresos por Ventas de Bines y Servicios</t>
  </si>
  <si>
    <t>H</t>
  </si>
  <si>
    <t>Participaciones</t>
  </si>
  <si>
    <t>I</t>
  </si>
  <si>
    <t>Incentivos Derivados de la Colaboración Fiscal</t>
  </si>
  <si>
    <t>J</t>
  </si>
  <si>
    <t>Transferencias</t>
  </si>
  <si>
    <t>K</t>
  </si>
  <si>
    <t>Convenios</t>
  </si>
  <si>
    <t>L</t>
  </si>
  <si>
    <t>Otros Ingresos de Libre Aplicación</t>
  </si>
  <si>
    <t>2. Transferencias Federales Etiquetadas</t>
  </si>
  <si>
    <t>(2=A+B+C+D+E)</t>
  </si>
  <si>
    <t>Aportaciones</t>
  </si>
  <si>
    <t>Fondos Distintos de Aportaciones</t>
  </si>
  <si>
    <t>Transferencias, subsidios y subversiones y Pensiones</t>
  </si>
  <si>
    <t>Otras Transferencias Federales Etiquetadas</t>
  </si>
  <si>
    <t>3. Ingresos Derivados de Financiamiento  (3=A)</t>
  </si>
  <si>
    <t>Ingresos Derivados de Financiamientos</t>
  </si>
  <si>
    <t>4.Total de Ingresos (4=1+2+3)</t>
  </si>
  <si>
    <t>Datos Informativos</t>
  </si>
  <si>
    <t>1 Ingresos Derivados de financiamiento con fuente de pago de recursos de libre disposición</t>
  </si>
  <si>
    <t>2. Ingreso derivados de financiamiento con fuente de pago de transferencias etiquetadas</t>
  </si>
  <si>
    <t>3. Ingresos Derivados de financiamiento (3=1+2)</t>
  </si>
  <si>
    <r>
      <rPr>
        <b/>
        <sz val="11"/>
        <color theme="1"/>
        <rFont val="Century Gothic"/>
        <family val="2"/>
      </rPr>
      <t>(1</t>
    </r>
    <r>
      <rPr>
        <sz val="11"/>
        <color theme="1"/>
        <rFont val="Century Gothic"/>
        <family val="2"/>
      </rPr>
      <t xml:space="preserve"> cifras con cierre con cierre proyectado  de los mes es Octubre, Noviembre, Diciembre</t>
    </r>
  </si>
  <si>
    <t>PROYECCIONES DE INGRESOS LEY DE DISCIPLINA FINANCIERA</t>
  </si>
  <si>
    <t>4.Total de Ingresos Proyectados (4=1+2+3)</t>
  </si>
  <si>
    <t>LEY DE INGRESOS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</si>
</sst>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??_-;_-@_-"/>
    <numFmt numFmtId="166" formatCode="_-* #,##0_-;\-* #,##0_-;_-* &quot;-&quot;??_-;_-@_-"/>
    <numFmt numFmtId="167" formatCode="_-* #,##0.00000_-;\-* #,##0.000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1"/>
      <color rgb="FFFF0000"/>
      <name val="Century Gothic"/>
      <family val="2"/>
    </font>
    <font>
      <sz val="11"/>
      <color rgb="FFFF0000"/>
      <name val="Century Gothic"/>
      <family val="2"/>
    </font>
    <font>
      <sz val="10"/>
      <name val="Arial"/>
      <family val="2"/>
    </font>
    <font>
      <b/>
      <sz val="9"/>
      <name val="Century Gothic"/>
      <family val="2"/>
    </font>
    <font>
      <sz val="10"/>
      <color indexed="12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vertAlign val="superscript"/>
      <sz val="11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5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" fillId="0" borderId="0"/>
  </cellStyleXfs>
  <cellXfs count="221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Border="1"/>
    <xf numFmtId="40" fontId="3" fillId="0" borderId="0" xfId="0" applyNumberFormat="1" applyFont="1" applyBorder="1"/>
    <xf numFmtId="0" fontId="4" fillId="0" borderId="0" xfId="0" applyFont="1" applyFill="1" applyBorder="1" applyAlignment="1">
      <alignment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justify"/>
    </xf>
    <xf numFmtId="3" fontId="4" fillId="3" borderId="11" xfId="0" applyNumberFormat="1" applyFont="1" applyFill="1" applyBorder="1" applyAlignment="1">
      <alignment horizontal="center"/>
    </xf>
    <xf numFmtId="3" fontId="4" fillId="3" borderId="11" xfId="2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/>
    <xf numFmtId="43" fontId="5" fillId="4" borderId="7" xfId="0" applyNumberFormat="1" applyFont="1" applyFill="1" applyBorder="1" applyAlignment="1">
      <alignment horizontal="center"/>
    </xf>
    <xf numFmtId="43" fontId="5" fillId="4" borderId="0" xfId="0" applyNumberFormat="1" applyFont="1" applyFill="1" applyBorder="1" applyAlignment="1">
      <alignment horizontal="center"/>
    </xf>
    <xf numFmtId="0" fontId="6" fillId="4" borderId="0" xfId="0" applyFont="1" applyFill="1" applyBorder="1"/>
    <xf numFmtId="40" fontId="5" fillId="4" borderId="0" xfId="0" applyNumberFormat="1" applyFont="1" applyFill="1" applyBorder="1" applyAlignment="1">
      <alignment horizontal="center"/>
    </xf>
    <xf numFmtId="10" fontId="5" fillId="4" borderId="0" xfId="3" applyNumberFormat="1" applyFont="1" applyFill="1" applyBorder="1" applyAlignment="1">
      <alignment horizontal="center"/>
    </xf>
    <xf numFmtId="0" fontId="3" fillId="3" borderId="0" xfId="0" applyFont="1" applyFill="1" applyBorder="1"/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justify"/>
    </xf>
    <xf numFmtId="3" fontId="4" fillId="5" borderId="13" xfId="0" applyNumberFormat="1" applyFont="1" applyFill="1" applyBorder="1" applyAlignment="1">
      <alignment horizontal="right"/>
    </xf>
    <xf numFmtId="3" fontId="4" fillId="5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/>
    <xf numFmtId="164" fontId="4" fillId="6" borderId="16" xfId="0" applyNumberFormat="1" applyFont="1" applyFill="1" applyBorder="1" applyAlignment="1">
      <alignment horizontal="center"/>
    </xf>
    <xf numFmtId="164" fontId="4" fillId="6" borderId="17" xfId="0" applyNumberFormat="1" applyFont="1" applyFill="1" applyBorder="1" applyAlignment="1">
      <alignment horizontal="center"/>
    </xf>
    <xf numFmtId="0" fontId="3" fillId="0" borderId="18" xfId="0" applyFont="1" applyBorder="1"/>
    <xf numFmtId="38" fontId="4" fillId="6" borderId="18" xfId="0" applyNumberFormat="1" applyFont="1" applyFill="1" applyBorder="1" applyAlignment="1">
      <alignment horizontal="center"/>
    </xf>
    <xf numFmtId="10" fontId="4" fillId="6" borderId="18" xfId="3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justify"/>
    </xf>
    <xf numFmtId="3" fontId="4" fillId="2" borderId="18" xfId="0" applyNumberFormat="1" applyFont="1" applyFill="1" applyBorder="1" applyAlignment="1">
      <alignment horizontal="right"/>
    </xf>
    <xf numFmtId="3" fontId="4" fillId="2" borderId="20" xfId="0" applyNumberFormat="1" applyFont="1" applyFill="1" applyBorder="1" applyAlignment="1">
      <alignment horizontal="right"/>
    </xf>
    <xf numFmtId="164" fontId="4" fillId="0" borderId="16" xfId="0" applyNumberFormat="1" applyFont="1" applyBorder="1"/>
    <xf numFmtId="164" fontId="4" fillId="2" borderId="17" xfId="0" applyNumberFormat="1" applyFont="1" applyFill="1" applyBorder="1"/>
    <xf numFmtId="38" fontId="4" fillId="0" borderId="18" xfId="0" applyNumberFormat="1" applyFont="1" applyFill="1" applyBorder="1" applyAlignment="1">
      <alignment horizontal="center"/>
    </xf>
    <xf numFmtId="10" fontId="7" fillId="0" borderId="18" xfId="3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8" xfId="0" applyFont="1" applyBorder="1" applyAlignment="1">
      <alignment horizontal="justify"/>
    </xf>
    <xf numFmtId="3" fontId="3" fillId="0" borderId="18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164" fontId="3" fillId="0" borderId="15" xfId="1" applyNumberFormat="1" applyFont="1" applyFill="1" applyBorder="1" applyAlignment="1"/>
    <xf numFmtId="164" fontId="3" fillId="0" borderId="16" xfId="1" applyNumberFormat="1" applyFont="1" applyBorder="1"/>
    <xf numFmtId="164" fontId="3" fillId="2" borderId="17" xfId="1" applyNumberFormat="1" applyFont="1" applyFill="1" applyBorder="1"/>
    <xf numFmtId="38" fontId="3" fillId="0" borderId="18" xfId="0" applyNumberFormat="1" applyFont="1" applyFill="1" applyBorder="1" applyAlignment="1">
      <alignment horizontal="center"/>
    </xf>
    <xf numFmtId="10" fontId="8" fillId="0" borderId="18" xfId="3" applyNumberFormat="1" applyFont="1" applyFill="1" applyBorder="1" applyAlignment="1">
      <alignment horizontal="center"/>
    </xf>
    <xf numFmtId="3" fontId="4" fillId="2" borderId="20" xfId="1" applyNumberFormat="1" applyFont="1" applyFill="1" applyBorder="1" applyAlignment="1">
      <alignment horizontal="right"/>
    </xf>
    <xf numFmtId="164" fontId="4" fillId="0" borderId="15" xfId="1" applyNumberFormat="1" applyFont="1" applyFill="1" applyBorder="1" applyAlignment="1"/>
    <xf numFmtId="164" fontId="4" fillId="0" borderId="16" xfId="1" applyNumberFormat="1" applyFont="1" applyBorder="1"/>
    <xf numFmtId="164" fontId="4" fillId="2" borderId="17" xfId="1" applyNumberFormat="1" applyFont="1" applyFill="1" applyBorder="1"/>
    <xf numFmtId="10" fontId="4" fillId="0" borderId="18" xfId="3" applyNumberFormat="1" applyFont="1" applyFill="1" applyBorder="1" applyAlignment="1">
      <alignment horizontal="center"/>
    </xf>
    <xf numFmtId="10" fontId="3" fillId="0" borderId="18" xfId="3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3" fontId="3" fillId="2" borderId="18" xfId="0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3" fontId="3" fillId="0" borderId="20" xfId="1" applyNumberFormat="1" applyFont="1" applyFill="1" applyBorder="1" applyAlignment="1">
      <alignment horizontal="right"/>
    </xf>
    <xf numFmtId="164" fontId="3" fillId="0" borderId="16" xfId="1" applyNumberFormat="1" applyFont="1" applyFill="1" applyBorder="1"/>
    <xf numFmtId="0" fontId="3" fillId="0" borderId="18" xfId="0" applyFont="1" applyFill="1" applyBorder="1"/>
    <xf numFmtId="0" fontId="3" fillId="0" borderId="19" xfId="0" applyFont="1" applyBorder="1" applyAlignment="1">
      <alignment horizontal="left" vertical="center"/>
    </xf>
    <xf numFmtId="0" fontId="4" fillId="5" borderId="19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justify"/>
    </xf>
    <xf numFmtId="3" fontId="4" fillId="5" borderId="18" xfId="0" applyNumberFormat="1" applyFont="1" applyFill="1" applyBorder="1" applyAlignment="1">
      <alignment horizontal="right"/>
    </xf>
    <xf numFmtId="3" fontId="4" fillId="5" borderId="20" xfId="0" applyNumberFormat="1" applyFont="1" applyFill="1" applyBorder="1" applyAlignment="1">
      <alignment horizontal="right"/>
    </xf>
    <xf numFmtId="164" fontId="4" fillId="6" borderId="16" xfId="0" applyNumberFormat="1" applyFont="1" applyFill="1" applyBorder="1"/>
    <xf numFmtId="164" fontId="4" fillId="6" borderId="17" xfId="0" applyNumberFormat="1" applyFont="1" applyFill="1" applyBorder="1"/>
    <xf numFmtId="164" fontId="4" fillId="0" borderId="1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4" fontId="3" fillId="0" borderId="18" xfId="4" applyNumberFormat="1" applyFont="1" applyBorder="1" applyAlignment="1">
      <alignment horizontal="justify"/>
    </xf>
    <xf numFmtId="164" fontId="3" fillId="0" borderId="16" xfId="0" applyNumberFormat="1" applyFont="1" applyBorder="1"/>
    <xf numFmtId="164" fontId="3" fillId="2" borderId="17" xfId="0" applyNumberFormat="1" applyFont="1" applyFill="1" applyBorder="1"/>
    <xf numFmtId="0" fontId="4" fillId="0" borderId="19" xfId="0" applyFont="1" applyBorder="1" applyAlignment="1">
      <alignment horizontal="left" vertical="center"/>
    </xf>
    <xf numFmtId="10" fontId="7" fillId="6" borderId="18" xfId="3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justify" wrapText="1"/>
    </xf>
    <xf numFmtId="0" fontId="4" fillId="0" borderId="15" xfId="0" applyFont="1" applyFill="1" applyBorder="1" applyAlignment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3" fontId="4" fillId="0" borderId="20" xfId="1" applyNumberFormat="1" applyFont="1" applyBorder="1" applyAlignment="1">
      <alignment horizontal="right"/>
    </xf>
    <xf numFmtId="164" fontId="4" fillId="0" borderId="16" xfId="1" applyNumberFormat="1" applyFont="1" applyBorder="1" applyAlignment="1">
      <alignment horizontal="right"/>
    </xf>
    <xf numFmtId="164" fontId="4" fillId="2" borderId="17" xfId="1" applyNumberFormat="1" applyFont="1" applyFill="1" applyBorder="1" applyAlignment="1">
      <alignment horizontal="right"/>
    </xf>
    <xf numFmtId="0" fontId="3" fillId="7" borderId="18" xfId="0" applyFont="1" applyFill="1" applyBorder="1" applyAlignment="1">
      <alignment horizontal="justify"/>
    </xf>
    <xf numFmtId="164" fontId="4" fillId="0" borderId="16" xfId="0" applyNumberFormat="1" applyFont="1" applyBorder="1" applyAlignment="1">
      <alignment horizontal="right"/>
    </xf>
    <xf numFmtId="164" fontId="4" fillId="2" borderId="17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left"/>
    </xf>
    <xf numFmtId="164" fontId="3" fillId="0" borderId="16" xfId="1" applyNumberFormat="1" applyFont="1" applyBorder="1" applyAlignment="1">
      <alignment horizontal="right"/>
    </xf>
    <xf numFmtId="164" fontId="3" fillId="2" borderId="17" xfId="1" applyNumberFormat="1" applyFont="1" applyFill="1" applyBorder="1" applyAlignment="1">
      <alignment horizontal="right"/>
    </xf>
    <xf numFmtId="164" fontId="4" fillId="6" borderId="16" xfId="1" applyNumberFormat="1" applyFont="1" applyFill="1" applyBorder="1"/>
    <xf numFmtId="164" fontId="4" fillId="6" borderId="17" xfId="1" applyNumberFormat="1" applyFont="1" applyFill="1" applyBorder="1"/>
    <xf numFmtId="0" fontId="3" fillId="0" borderId="18" xfId="0" applyFont="1" applyFill="1" applyBorder="1" applyAlignment="1">
      <alignment horizontal="justify"/>
    </xf>
    <xf numFmtId="3" fontId="4" fillId="0" borderId="20" xfId="0" applyNumberFormat="1" applyFont="1" applyFill="1" applyBorder="1" applyAlignment="1">
      <alignment horizontal="right"/>
    </xf>
    <xf numFmtId="164" fontId="4" fillId="0" borderId="16" xfId="1" applyNumberFormat="1" applyFont="1" applyFill="1" applyBorder="1"/>
    <xf numFmtId="164" fontId="4" fillId="0" borderId="17" xfId="1" applyNumberFormat="1" applyFont="1" applyFill="1" applyBorder="1"/>
    <xf numFmtId="0" fontId="3" fillId="0" borderId="0" xfId="0" applyFont="1" applyFill="1" applyBorder="1"/>
    <xf numFmtId="0" fontId="3" fillId="0" borderId="18" xfId="0" applyFont="1" applyBorder="1" applyAlignment="1">
      <alignment horizontal="justify" wrapText="1"/>
    </xf>
    <xf numFmtId="0" fontId="10" fillId="2" borderId="18" xfId="0" applyFont="1" applyFill="1" applyBorder="1" applyAlignment="1">
      <alignment horizontal="justify"/>
    </xf>
    <xf numFmtId="0" fontId="4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justify"/>
    </xf>
    <xf numFmtId="3" fontId="4" fillId="0" borderId="18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justify" wrapText="1"/>
    </xf>
    <xf numFmtId="164" fontId="4" fillId="0" borderId="16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0" fontId="4" fillId="0" borderId="18" xfId="0" applyFont="1" applyBorder="1"/>
    <xf numFmtId="164" fontId="4" fillId="6" borderId="16" xfId="1" applyNumberFormat="1" applyFont="1" applyFill="1" applyBorder="1" applyAlignment="1">
      <alignment horizontal="center"/>
    </xf>
    <xf numFmtId="164" fontId="4" fillId="6" borderId="17" xfId="1" applyNumberFormat="1" applyFont="1" applyFill="1" applyBorder="1" applyAlignment="1">
      <alignment horizontal="center"/>
    </xf>
    <xf numFmtId="164" fontId="3" fillId="0" borderId="16" xfId="0" applyNumberFormat="1" applyFont="1" applyFill="1" applyBorder="1"/>
    <xf numFmtId="164" fontId="4" fillId="0" borderId="16" xfId="0" applyNumberFormat="1" applyFont="1" applyFill="1" applyBorder="1"/>
    <xf numFmtId="164" fontId="4" fillId="0" borderId="17" xfId="0" applyNumberFormat="1" applyFont="1" applyFill="1" applyBorder="1"/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 horizontal="right"/>
    </xf>
    <xf numFmtId="38" fontId="3" fillId="6" borderId="18" xfId="0" applyNumberFormat="1" applyFont="1" applyFill="1" applyBorder="1" applyAlignment="1">
      <alignment horizontal="center"/>
    </xf>
    <xf numFmtId="10" fontId="3" fillId="6" borderId="18" xfId="3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/>
    <xf numFmtId="3" fontId="3" fillId="0" borderId="2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/>
    <xf numFmtId="164" fontId="3" fillId="0" borderId="17" xfId="0" applyNumberFormat="1" applyFont="1" applyFill="1" applyBorder="1"/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justify"/>
    </xf>
    <xf numFmtId="3" fontId="3" fillId="0" borderId="23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164" fontId="3" fillId="0" borderId="25" xfId="0" applyNumberFormat="1" applyFont="1" applyFill="1" applyBorder="1" applyAlignment="1"/>
    <xf numFmtId="164" fontId="3" fillId="0" borderId="26" xfId="0" applyNumberFormat="1" applyFont="1" applyFill="1" applyBorder="1"/>
    <xf numFmtId="40" fontId="3" fillId="0" borderId="1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justify"/>
    </xf>
    <xf numFmtId="3" fontId="3" fillId="0" borderId="0" xfId="0" applyNumberFormat="1" applyFont="1" applyBorder="1" applyAlignment="1">
      <alignment horizontal="right"/>
    </xf>
    <xf numFmtId="0" fontId="14" fillId="0" borderId="0" xfId="0" applyFont="1"/>
    <xf numFmtId="0" fontId="14" fillId="8" borderId="35" xfId="0" applyFont="1" applyFill="1" applyBorder="1" applyAlignment="1"/>
    <xf numFmtId="0" fontId="14" fillId="8" borderId="36" xfId="0" applyFont="1" applyFill="1" applyBorder="1" applyAlignment="1"/>
    <xf numFmtId="0" fontId="14" fillId="5" borderId="18" xfId="0" applyFont="1" applyFill="1" applyBorder="1"/>
    <xf numFmtId="0" fontId="14" fillId="5" borderId="21" xfId="0" applyFont="1" applyFill="1" applyBorder="1"/>
    <xf numFmtId="0" fontId="13" fillId="5" borderId="18" xfId="0" applyFont="1" applyFill="1" applyBorder="1" applyAlignment="1">
      <alignment horizontal="center" wrapText="1"/>
    </xf>
    <xf numFmtId="0" fontId="13" fillId="5" borderId="18" xfId="0" applyFont="1" applyFill="1" applyBorder="1" applyAlignment="1">
      <alignment horizontal="center"/>
    </xf>
    <xf numFmtId="0" fontId="13" fillId="0" borderId="38" xfId="0" applyFont="1" applyBorder="1"/>
    <xf numFmtId="0" fontId="13" fillId="0" borderId="39" xfId="0" applyFont="1" applyBorder="1"/>
    <xf numFmtId="166" fontId="13" fillId="0" borderId="40" xfId="1" applyNumberFormat="1" applyFont="1" applyBorder="1"/>
    <xf numFmtId="0" fontId="13" fillId="0" borderId="41" xfId="0" applyFont="1" applyBorder="1"/>
    <xf numFmtId="0" fontId="13" fillId="0" borderId="42" xfId="0" applyFont="1" applyBorder="1"/>
    <xf numFmtId="166" fontId="14" fillId="0" borderId="40" xfId="1" applyNumberFormat="1" applyFont="1" applyBorder="1"/>
    <xf numFmtId="0" fontId="14" fillId="0" borderId="41" xfId="0" applyFont="1" applyBorder="1" applyAlignment="1">
      <alignment horizontal="right"/>
    </xf>
    <xf numFmtId="0" fontId="14" fillId="0" borderId="42" xfId="0" applyFont="1" applyBorder="1"/>
    <xf numFmtId="0" fontId="14" fillId="7" borderId="0" xfId="0" applyFont="1" applyFill="1"/>
    <xf numFmtId="166" fontId="14" fillId="0" borderId="0" xfId="0" applyNumberFormat="1" applyFont="1"/>
    <xf numFmtId="166" fontId="14" fillId="0" borderId="40" xfId="1" applyNumberFormat="1" applyFont="1" applyFill="1" applyBorder="1"/>
    <xf numFmtId="0" fontId="14" fillId="0" borderId="41" xfId="0" applyFont="1" applyBorder="1"/>
    <xf numFmtId="0" fontId="13" fillId="0" borderId="41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3" fillId="0" borderId="35" xfId="0" applyFont="1" applyBorder="1"/>
    <xf numFmtId="0" fontId="13" fillId="0" borderId="37" xfId="0" applyFont="1" applyBorder="1"/>
    <xf numFmtId="166" fontId="13" fillId="0" borderId="43" xfId="1" applyNumberFormat="1" applyFont="1" applyBorder="1"/>
    <xf numFmtId="43" fontId="14" fillId="0" borderId="0" xfId="0" applyNumberFormat="1" applyFont="1"/>
    <xf numFmtId="43" fontId="14" fillId="0" borderId="0" xfId="1" applyFont="1"/>
    <xf numFmtId="3" fontId="14" fillId="0" borderId="0" xfId="0" applyNumberFormat="1" applyFont="1"/>
    <xf numFmtId="0" fontId="14" fillId="2" borderId="0" xfId="0" applyFont="1" applyFill="1"/>
    <xf numFmtId="0" fontId="14" fillId="8" borderId="33" xfId="0" applyFont="1" applyFill="1" applyBorder="1"/>
    <xf numFmtId="0" fontId="14" fillId="5" borderId="35" xfId="0" applyFont="1" applyFill="1" applyBorder="1"/>
    <xf numFmtId="0" fontId="13" fillId="5" borderId="43" xfId="0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167" fontId="14" fillId="0" borderId="40" xfId="1" applyNumberFormat="1" applyFont="1" applyBorder="1"/>
    <xf numFmtId="43" fontId="14" fillId="0" borderId="40" xfId="1" applyNumberFormat="1" applyFont="1" applyBorder="1"/>
    <xf numFmtId="166" fontId="14" fillId="0" borderId="0" xfId="1" applyNumberFormat="1" applyFont="1"/>
    <xf numFmtId="0" fontId="14" fillId="0" borderId="0" xfId="0" applyFont="1" applyBorder="1"/>
    <xf numFmtId="166" fontId="14" fillId="0" borderId="46" xfId="1" applyNumberFormat="1" applyFont="1" applyFill="1" applyBorder="1"/>
    <xf numFmtId="167" fontId="13" fillId="0" borderId="40" xfId="1" applyNumberFormat="1" applyFont="1" applyBorder="1"/>
    <xf numFmtId="0" fontId="6" fillId="0" borderId="0" xfId="0" applyFont="1" applyBorder="1"/>
    <xf numFmtId="43" fontId="6" fillId="0" borderId="0" xfId="1" applyFont="1" applyBorder="1"/>
    <xf numFmtId="3" fontId="5" fillId="3" borderId="11" xfId="2" applyNumberFormat="1" applyFont="1" applyFill="1" applyBorder="1" applyAlignment="1">
      <alignment horizontal="right"/>
    </xf>
    <xf numFmtId="165" fontId="6" fillId="0" borderId="0" xfId="0" applyNumberFormat="1" applyFont="1" applyBorder="1"/>
    <xf numFmtId="9" fontId="6" fillId="0" borderId="0" xfId="3" applyFont="1" applyBorder="1"/>
    <xf numFmtId="43" fontId="6" fillId="0" borderId="0" xfId="0" applyNumberFormat="1" applyFont="1" applyBorder="1"/>
    <xf numFmtId="9" fontId="6" fillId="0" borderId="0" xfId="0" applyNumberFormat="1" applyFont="1" applyBorder="1"/>
    <xf numFmtId="0" fontId="6" fillId="0" borderId="0" xfId="0" applyFont="1" applyFill="1" applyBorder="1"/>
    <xf numFmtId="43" fontId="6" fillId="0" borderId="0" xfId="1" applyFont="1" applyFill="1" applyBorder="1"/>
    <xf numFmtId="0" fontId="14" fillId="8" borderId="32" xfId="0" applyFont="1" applyFill="1" applyBorder="1"/>
    <xf numFmtId="0" fontId="14" fillId="5" borderId="48" xfId="0" applyFont="1" applyFill="1" applyBorder="1"/>
    <xf numFmtId="0" fontId="13" fillId="5" borderId="49" xfId="0" applyFont="1" applyFill="1" applyBorder="1" applyAlignment="1">
      <alignment horizontal="center"/>
    </xf>
    <xf numFmtId="0" fontId="13" fillId="0" borderId="50" xfId="0" applyFont="1" applyBorder="1"/>
    <xf numFmtId="166" fontId="13" fillId="0" borderId="51" xfId="1" applyNumberFormat="1" applyFont="1" applyBorder="1"/>
    <xf numFmtId="0" fontId="13" fillId="0" borderId="30" xfId="0" applyFont="1" applyBorder="1"/>
    <xf numFmtId="166" fontId="14" fillId="0" borderId="51" xfId="1" applyNumberFormat="1" applyFont="1" applyBorder="1"/>
    <xf numFmtId="0" fontId="14" fillId="0" borderId="30" xfId="0" applyFont="1" applyBorder="1" applyAlignment="1">
      <alignment horizontal="right"/>
    </xf>
    <xf numFmtId="0" fontId="14" fillId="0" borderId="30" xfId="0" applyFont="1" applyBorder="1"/>
    <xf numFmtId="0" fontId="13" fillId="0" borderId="30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3" fillId="0" borderId="32" xfId="0" applyFont="1" applyBorder="1"/>
    <xf numFmtId="0" fontId="13" fillId="0" borderId="52" xfId="0" applyFont="1" applyBorder="1"/>
    <xf numFmtId="167" fontId="14" fillId="0" borderId="53" xfId="1" applyNumberFormat="1" applyFont="1" applyBorder="1"/>
    <xf numFmtId="166" fontId="14" fillId="0" borderId="53" xfId="1" applyNumberFormat="1" applyFont="1" applyBorder="1"/>
    <xf numFmtId="166" fontId="14" fillId="0" borderId="54" xfId="1" applyNumberFormat="1" applyFont="1" applyBorder="1"/>
    <xf numFmtId="166" fontId="13" fillId="7" borderId="40" xfId="1" applyNumberFormat="1" applyFont="1" applyFill="1" applyBorder="1"/>
    <xf numFmtId="43" fontId="3" fillId="0" borderId="0" xfId="1" applyFont="1" applyFill="1" applyBorder="1"/>
    <xf numFmtId="3" fontId="4" fillId="9" borderId="18" xfId="0" applyNumberFormat="1" applyFont="1" applyFill="1" applyBorder="1" applyAlignment="1">
      <alignment horizontal="right"/>
    </xf>
    <xf numFmtId="3" fontId="4" fillId="9" borderId="20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wrapText="1"/>
    </xf>
    <xf numFmtId="0" fontId="14" fillId="0" borderId="42" xfId="0" applyFont="1" applyBorder="1" applyAlignment="1">
      <alignment horizontal="left" wrapText="1"/>
    </xf>
    <xf numFmtId="0" fontId="13" fillId="8" borderId="27" xfId="0" applyFont="1" applyFill="1" applyBorder="1" applyAlignment="1">
      <alignment horizontal="center"/>
    </xf>
    <xf numFmtId="0" fontId="13" fillId="8" borderId="28" xfId="0" applyFont="1" applyFill="1" applyBorder="1" applyAlignment="1">
      <alignment horizontal="center"/>
    </xf>
    <xf numFmtId="0" fontId="13" fillId="8" borderId="29" xfId="0" applyFont="1" applyFill="1" applyBorder="1" applyAlignment="1">
      <alignment horizontal="center"/>
    </xf>
    <xf numFmtId="0" fontId="13" fillId="8" borderId="3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31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5" xfId="0" applyFont="1" applyFill="1" applyBorder="1" applyAlignment="1">
      <alignment horizontal="center"/>
    </xf>
    <xf numFmtId="0" fontId="13" fillId="8" borderId="47" xfId="0" applyFont="1" applyFill="1" applyBorder="1" applyAlignment="1">
      <alignment horizontal="center"/>
    </xf>
    <xf numFmtId="0" fontId="14" fillId="0" borderId="41" xfId="0" applyFont="1" applyBorder="1" applyAlignment="1">
      <alignment horizontal="left" wrapText="1"/>
    </xf>
    <xf numFmtId="0" fontId="13" fillId="8" borderId="32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center"/>
    </xf>
    <xf numFmtId="0" fontId="13" fillId="8" borderId="34" xfId="0" applyFont="1" applyFill="1" applyBorder="1" applyAlignment="1">
      <alignment horizontal="center"/>
    </xf>
    <xf numFmtId="0" fontId="13" fillId="8" borderId="36" xfId="0" applyFont="1" applyFill="1" applyBorder="1" applyAlignment="1">
      <alignment horizontal="center"/>
    </xf>
    <xf numFmtId="0" fontId="13" fillId="8" borderId="37" xfId="0" applyFont="1" applyFill="1" applyBorder="1" applyAlignment="1">
      <alignment horizontal="center"/>
    </xf>
  </cellXfs>
  <cellStyles count="9">
    <cellStyle name="Hyperlink" xfId="5"/>
    <cellStyle name="Millares" xfId="1" builtinId="3"/>
    <cellStyle name="Millares 2" xfId="6"/>
    <cellStyle name="Moneda" xfId="2" builtinId="4"/>
    <cellStyle name="Normal" xfId="0" builtinId="0"/>
    <cellStyle name="Normal 2" xfId="4"/>
    <cellStyle name="Normal 2 2" xfId="7"/>
    <cellStyle name="Normal 2 2 3" xfId="8"/>
    <cellStyle name="Porcentaje" xfId="3" builtinId="5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cat>
            <c:strRef>
              <c:f>'LI 2019'!$N$6:$N$9</c:f>
              <c:strCache>
                <c:ptCount val="4"/>
                <c:pt idx="0">
                  <c:v>INGRESOS PROPIOS</c:v>
                </c:pt>
                <c:pt idx="1">
                  <c:v>PARTICIPACIONES E INCENTIVOS</c:v>
                </c:pt>
                <c:pt idx="2">
                  <c:v>APORTACIONES</c:v>
                </c:pt>
                <c:pt idx="3">
                  <c:v>CONVENIOS Y ASIGNACIONES</c:v>
                </c:pt>
              </c:strCache>
            </c:strRef>
          </c:cat>
          <c:val>
            <c:numRef>
              <c:f>'LI 2019'!$O$6:$O$9</c:f>
              <c:numCache>
                <c:formatCode>_-"$"* #,##0_-;\-"$"* #,##0_-;_-"$"* "-"??_-;_-@_-</c:formatCode>
                <c:ptCount val="4"/>
                <c:pt idx="0" formatCode="_(* #,##0.00_);_(* \(#,##0.00\);_(* &quot;-&quot;??_);_(@_)">
                  <c:v>3511121297</c:v>
                </c:pt>
                <c:pt idx="1">
                  <c:v>11497249671</c:v>
                </c:pt>
                <c:pt idx="2">
                  <c:v>12675278842</c:v>
                </c:pt>
                <c:pt idx="3">
                  <c:v>2149769107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421821</xdr:colOff>
      <xdr:row>2</xdr:row>
      <xdr:rowOff>13607</xdr:rowOff>
    </xdr:from>
    <xdr:to>
      <xdr:col>28</xdr:col>
      <xdr:colOff>22110</xdr:colOff>
      <xdr:row>11</xdr:row>
      <xdr:rowOff>27214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19051</xdr:colOff>
      <xdr:row>0</xdr:row>
      <xdr:rowOff>0</xdr:rowOff>
    </xdr:from>
    <xdr:to>
      <xdr:col>8</xdr:col>
      <xdr:colOff>943145</xdr:colOff>
      <xdr:row>3</xdr:row>
      <xdr:rowOff>208137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2826" y="0"/>
          <a:ext cx="924094" cy="836787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0</xdr:row>
      <xdr:rowOff>0</xdr:rowOff>
    </xdr:from>
    <xdr:to>
      <xdr:col>2</xdr:col>
      <xdr:colOff>1066800</xdr:colOff>
      <xdr:row>4</xdr:row>
      <xdr:rowOff>61001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0"/>
          <a:ext cx="971550" cy="8992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1028700</xdr:colOff>
      <xdr:row>0</xdr:row>
      <xdr:rowOff>9524</xdr:rowOff>
    </xdr:from>
    <xdr:to>
      <xdr:col>9</xdr:col>
      <xdr:colOff>866775</xdr:colOff>
      <xdr:row>3</xdr:row>
      <xdr:rowOff>134783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9524"/>
          <a:ext cx="981075" cy="944409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0</xdr:row>
      <xdr:rowOff>74073</xdr:rowOff>
    </xdr:from>
    <xdr:to>
      <xdr:col>2</xdr:col>
      <xdr:colOff>425997</xdr:colOff>
      <xdr:row>3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74073"/>
          <a:ext cx="959397" cy="887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7"/>
  <sheetViews>
    <sheetView showGridLines="0" tabSelected="1" view="pageBreakPreview" zoomScale="70" zoomScaleNormal="85" zoomScaleSheetLayoutView="70" workbookViewId="0">
      <pane ySplit="4" topLeftCell="A95" activePane="bottomLeft" state="frozen"/>
      <selection activeCell="C39" sqref="C39"/>
      <selection pane="bottomLeft" activeCell="E97" sqref="E97"/>
    </sheetView>
  </sheetViews>
  <sheetFormatPr baseColWidth="10" defaultRowHeight="16.5" x14ac:dyDescent="0.3"/>
  <cols>
    <col min="1" max="1" width="2.140625" style="2" customWidth="1"/>
    <col min="2" max="2" width="6.7109375" style="121" customWidth="1"/>
    <col min="3" max="3" width="68.7109375" style="122" customWidth="1"/>
    <col min="4" max="4" width="23.5703125" style="123" bestFit="1" customWidth="1"/>
    <col min="5" max="5" width="30.42578125" style="123" customWidth="1"/>
    <col min="6" max="6" width="1.7109375" style="1" hidden="1" customWidth="1"/>
    <col min="7" max="7" width="21.140625" style="2" hidden="1" customWidth="1"/>
    <col min="8" max="8" width="20" style="2" hidden="1" customWidth="1"/>
    <col min="9" max="9" width="6.42578125" style="2" hidden="1" customWidth="1"/>
    <col min="10" max="10" width="30.7109375" style="3" hidden="1" customWidth="1"/>
    <col min="11" max="11" width="16.5703125" style="3" hidden="1" customWidth="1"/>
    <col min="12" max="12" width="1.42578125" style="2" hidden="1" customWidth="1"/>
    <col min="13" max="13" width="16" style="162" bestFit="1" customWidth="1"/>
    <col min="14" max="14" width="27.140625" style="163" customWidth="1"/>
    <col min="15" max="16" width="31.7109375" style="162" customWidth="1"/>
    <col min="17" max="17" width="29.5703125" style="162" customWidth="1"/>
    <col min="18" max="18" width="30.42578125" style="162" customWidth="1"/>
    <col min="19" max="19" width="17.85546875" style="162" bestFit="1" customWidth="1"/>
    <col min="20" max="20" width="11.42578125" style="162"/>
    <col min="21" max="21" width="18" style="162" customWidth="1"/>
    <col min="22" max="28" width="11.42578125" style="162"/>
    <col min="29" max="16384" width="11.42578125" style="2"/>
  </cols>
  <sheetData>
    <row r="1" spans="2:22" ht="8.25" customHeight="1" thickTop="1" thickBot="1" x14ac:dyDescent="0.35">
      <c r="B1" s="191" t="s">
        <v>258</v>
      </c>
      <c r="C1" s="192"/>
      <c r="D1" s="192"/>
      <c r="E1" s="193"/>
    </row>
    <row r="2" spans="2:22" ht="21" customHeight="1" x14ac:dyDescent="0.3">
      <c r="B2" s="194"/>
      <c r="C2" s="195"/>
      <c r="D2" s="195"/>
      <c r="E2" s="196"/>
      <c r="F2" s="4"/>
      <c r="G2" s="200" t="s">
        <v>0</v>
      </c>
      <c r="H2" s="202" t="s">
        <v>1</v>
      </c>
      <c r="I2" s="2">
        <v>1.05</v>
      </c>
      <c r="J2" s="203" t="s">
        <v>2</v>
      </c>
      <c r="K2" s="203"/>
    </row>
    <row r="3" spans="2:22" ht="24.75" customHeight="1" x14ac:dyDescent="0.3">
      <c r="B3" s="194"/>
      <c r="C3" s="195"/>
      <c r="D3" s="195"/>
      <c r="E3" s="196"/>
      <c r="F3" s="4"/>
      <c r="G3" s="201"/>
      <c r="H3" s="202"/>
      <c r="J3" s="203"/>
      <c r="K3" s="203"/>
    </row>
    <row r="4" spans="2:22" ht="6.75" customHeight="1" thickBot="1" x14ac:dyDescent="0.35">
      <c r="B4" s="197"/>
      <c r="C4" s="198"/>
      <c r="D4" s="198"/>
      <c r="E4" s="199"/>
      <c r="F4" s="4"/>
      <c r="G4" s="201"/>
      <c r="H4" s="202"/>
      <c r="J4" s="5" t="s">
        <v>3</v>
      </c>
      <c r="K4" s="5" t="s">
        <v>4</v>
      </c>
    </row>
    <row r="5" spans="2:22" ht="18" thickTop="1" thickBot="1" x14ac:dyDescent="0.35">
      <c r="B5" s="6" t="s">
        <v>5</v>
      </c>
      <c r="C5" s="7" t="s">
        <v>6</v>
      </c>
      <c r="D5" s="8" t="s">
        <v>7</v>
      </c>
      <c r="E5" s="9">
        <f>ROUND(E6+E27+E28+E35+E58+E78+E91+E92+E124+E125,0)</f>
        <v>29833418917</v>
      </c>
      <c r="F5" s="10"/>
      <c r="G5" s="11" t="e">
        <f>+G6+G28+G35+G58+G78+G93+G104+G113+G126+G127</f>
        <v>#REF!</v>
      </c>
      <c r="H5" s="12" t="e">
        <f>+H6+H28+H35+H58+H78+H93+H104+H113</f>
        <v>#REF!</v>
      </c>
      <c r="I5" s="13"/>
      <c r="J5" s="14" t="e">
        <f>E5-G5</f>
        <v>#REF!</v>
      </c>
      <c r="K5" s="15" t="e">
        <f>J5/G5</f>
        <v>#REF!</v>
      </c>
      <c r="L5" s="16"/>
      <c r="M5" s="164">
        <v>30337490239</v>
      </c>
    </row>
    <row r="6" spans="2:22" x14ac:dyDescent="0.3">
      <c r="B6" s="17">
        <v>1</v>
      </c>
      <c r="C6" s="18" t="s">
        <v>8</v>
      </c>
      <c r="D6" s="19"/>
      <c r="E6" s="20">
        <f>ROUND(E7+E9+E12+E14+E15+E17+E22+E26+E23,0)</f>
        <v>2324528463</v>
      </c>
      <c r="F6" s="21"/>
      <c r="G6" s="22" t="e">
        <f>+G7+G9+G12+G15+G17+G22+#REF!+#REF!</f>
        <v>#REF!</v>
      </c>
      <c r="H6" s="23" t="e">
        <f>+H7+H9+H12+H15+H17+H22+#REF!+#REF!</f>
        <v>#REF!</v>
      </c>
      <c r="I6" s="24"/>
      <c r="J6" s="25" t="e">
        <f>E6-G6</f>
        <v>#REF!</v>
      </c>
      <c r="K6" s="26" t="e">
        <f t="shared" ref="K6:K13" si="0">J6/G6</f>
        <v>#REF!</v>
      </c>
      <c r="N6" s="163" t="s">
        <v>9</v>
      </c>
      <c r="O6" s="163">
        <f>E6+E28+E35+E58+E78+E125</f>
        <v>3511121297</v>
      </c>
      <c r="P6" s="163" t="s">
        <v>10</v>
      </c>
      <c r="Q6" s="163"/>
      <c r="R6" s="163" t="e">
        <f>G6+G28+G35+G58+G78+G125</f>
        <v>#REF!</v>
      </c>
    </row>
    <row r="7" spans="2:22" x14ac:dyDescent="0.3">
      <c r="B7" s="27">
        <v>1.1000000000000001</v>
      </c>
      <c r="C7" s="28" t="s">
        <v>11</v>
      </c>
      <c r="D7" s="29"/>
      <c r="E7" s="30">
        <f>+D8</f>
        <v>823150</v>
      </c>
      <c r="F7" s="21"/>
      <c r="G7" s="31">
        <f>+G8</f>
        <v>0</v>
      </c>
      <c r="H7" s="32">
        <f>+H8</f>
        <v>776739.17999999993</v>
      </c>
      <c r="I7" s="24"/>
      <c r="J7" s="33">
        <f>E7-G7</f>
        <v>823150</v>
      </c>
      <c r="K7" s="34" t="e">
        <f t="shared" si="0"/>
        <v>#DIV/0!</v>
      </c>
      <c r="N7" s="163" t="s">
        <v>12</v>
      </c>
      <c r="O7" s="165">
        <f>+E93+E116</f>
        <v>11497249671</v>
      </c>
      <c r="P7" s="165" t="s">
        <v>13</v>
      </c>
      <c r="Q7" s="165"/>
      <c r="R7" s="165">
        <f>+E93</f>
        <v>11279502048</v>
      </c>
      <c r="S7" s="166" t="e">
        <f>+R7/$R$11</f>
        <v>#REF!</v>
      </c>
    </row>
    <row r="8" spans="2:22" ht="33" x14ac:dyDescent="0.3">
      <c r="B8" s="35" t="s">
        <v>14</v>
      </c>
      <c r="C8" s="36" t="s">
        <v>15</v>
      </c>
      <c r="D8" s="37">
        <f>+#REF!</f>
        <v>823150</v>
      </c>
      <c r="E8" s="38"/>
      <c r="F8" s="39"/>
      <c r="G8" s="40"/>
      <c r="H8" s="41">
        <v>776739.17999999993</v>
      </c>
      <c r="I8" s="24"/>
      <c r="J8" s="42">
        <f>D8-G8</f>
        <v>823150</v>
      </c>
      <c r="K8" s="43" t="e">
        <f t="shared" si="0"/>
        <v>#DIV/0!</v>
      </c>
      <c r="N8" s="163" t="s">
        <v>16</v>
      </c>
      <c r="O8" s="165">
        <f>+E104</f>
        <v>12675278842</v>
      </c>
      <c r="P8" s="165" t="s">
        <v>17</v>
      </c>
      <c r="Q8" s="165"/>
      <c r="R8" s="165">
        <f>+O8</f>
        <v>12675278842</v>
      </c>
      <c r="S8" s="166" t="e">
        <f t="shared" ref="S8:S11" si="1">+R8/$R$11</f>
        <v>#REF!</v>
      </c>
    </row>
    <row r="9" spans="2:22" x14ac:dyDescent="0.3">
      <c r="B9" s="27">
        <v>1.2</v>
      </c>
      <c r="C9" s="28" t="s">
        <v>18</v>
      </c>
      <c r="D9" s="29"/>
      <c r="E9" s="44">
        <f>+D10+D11</f>
        <v>37169510</v>
      </c>
      <c r="F9" s="45"/>
      <c r="G9" s="46">
        <f>+G10+G11</f>
        <v>0</v>
      </c>
      <c r="H9" s="47">
        <f>+H10+H11</f>
        <v>99463763.571428552</v>
      </c>
      <c r="I9" s="24"/>
      <c r="J9" s="33">
        <f>E9-G9</f>
        <v>37169510</v>
      </c>
      <c r="K9" s="48" t="e">
        <f t="shared" si="0"/>
        <v>#DIV/0!</v>
      </c>
      <c r="N9" s="163" t="s">
        <v>19</v>
      </c>
      <c r="O9" s="165">
        <f>+E113</f>
        <v>2149769107</v>
      </c>
      <c r="P9" s="165" t="s">
        <v>20</v>
      </c>
      <c r="Q9" s="165"/>
      <c r="R9" s="165">
        <f>+O9</f>
        <v>2149769107</v>
      </c>
      <c r="S9" s="166" t="e">
        <f t="shared" si="1"/>
        <v>#REF!</v>
      </c>
    </row>
    <row r="10" spans="2:22" x14ac:dyDescent="0.3">
      <c r="B10" s="35" t="s">
        <v>21</v>
      </c>
      <c r="C10" s="36" t="s">
        <v>22</v>
      </c>
      <c r="D10" s="37">
        <f>ROUND(#REF!,0)</f>
        <v>32169510</v>
      </c>
      <c r="E10" s="38"/>
      <c r="F10" s="39"/>
      <c r="G10" s="40"/>
      <c r="H10" s="41">
        <v>35777069.714285709</v>
      </c>
      <c r="I10" s="24"/>
      <c r="J10" s="42">
        <f>D10-G10</f>
        <v>32169510</v>
      </c>
      <c r="K10" s="49" t="e">
        <f t="shared" si="0"/>
        <v>#DIV/0!</v>
      </c>
      <c r="S10" s="166" t="e">
        <f t="shared" si="1"/>
        <v>#REF!</v>
      </c>
    </row>
    <row r="11" spans="2:22" x14ac:dyDescent="0.3">
      <c r="B11" s="35" t="s">
        <v>23</v>
      </c>
      <c r="C11" s="36" t="s">
        <v>24</v>
      </c>
      <c r="D11" s="37">
        <f>+#REF!</f>
        <v>5000000</v>
      </c>
      <c r="E11" s="38"/>
      <c r="F11" s="39"/>
      <c r="G11" s="40"/>
      <c r="H11" s="41">
        <v>63686693.857142843</v>
      </c>
      <c r="I11" s="24"/>
      <c r="J11" s="42">
        <f>D11-G11</f>
        <v>5000000</v>
      </c>
      <c r="K11" s="49" t="e">
        <f t="shared" si="0"/>
        <v>#DIV/0!</v>
      </c>
      <c r="N11" s="163" t="s">
        <v>25</v>
      </c>
      <c r="O11" s="167">
        <f>SUM(O6:O9)</f>
        <v>29833418917</v>
      </c>
      <c r="P11" s="167" t="s">
        <v>26</v>
      </c>
      <c r="Q11" s="167"/>
      <c r="R11" s="167" t="e">
        <f>SUM(R6:R9)</f>
        <v>#REF!</v>
      </c>
      <c r="S11" s="166" t="e">
        <f t="shared" si="1"/>
        <v>#REF!</v>
      </c>
    </row>
    <row r="12" spans="2:22" ht="30" x14ac:dyDescent="0.3">
      <c r="B12" s="27">
        <v>1.3</v>
      </c>
      <c r="C12" s="28" t="s">
        <v>27</v>
      </c>
      <c r="D12" s="29"/>
      <c r="E12" s="44">
        <f>+D13</f>
        <v>12438697</v>
      </c>
      <c r="F12" s="45"/>
      <c r="G12" s="46">
        <f>+G13</f>
        <v>0</v>
      </c>
      <c r="H12" s="47">
        <f>+H13</f>
        <v>8677920.4550000019</v>
      </c>
      <c r="I12" s="24"/>
      <c r="J12" s="33">
        <f>E12-G12</f>
        <v>12438697</v>
      </c>
      <c r="K12" s="48" t="e">
        <f t="shared" si="0"/>
        <v>#DIV/0!</v>
      </c>
      <c r="N12" s="163" t="str">
        <f>+C6</f>
        <v>IMPUESTOS</v>
      </c>
      <c r="O12" s="165">
        <f>+E6</f>
        <v>2324528463</v>
      </c>
      <c r="P12" s="165"/>
      <c r="Q12" s="166">
        <f>+O12/$O$17</f>
        <v>0.67631885075847509</v>
      </c>
      <c r="R12" s="165">
        <v>2261676193</v>
      </c>
      <c r="S12" s="166">
        <f>(O12-R12)/R12</f>
        <v>2.7790127602939311E-2</v>
      </c>
      <c r="U12" s="165">
        <f>+O12-R12</f>
        <v>62852270</v>
      </c>
      <c r="V12" s="166">
        <f>+U12/R12</f>
        <v>2.7790127602939311E-2</v>
      </c>
    </row>
    <row r="13" spans="2:22" x14ac:dyDescent="0.3">
      <c r="B13" s="50" t="s">
        <v>28</v>
      </c>
      <c r="C13" s="36" t="s">
        <v>29</v>
      </c>
      <c r="D13" s="37">
        <f>#REF!</f>
        <v>12438697</v>
      </c>
      <c r="E13" s="38"/>
      <c r="F13" s="39"/>
      <c r="G13" s="40"/>
      <c r="H13" s="41">
        <v>8677920.4550000019</v>
      </c>
      <c r="I13" s="24"/>
      <c r="J13" s="42">
        <f>D13-G13</f>
        <v>12438697</v>
      </c>
      <c r="K13" s="49" t="e">
        <f t="shared" si="0"/>
        <v>#DIV/0!</v>
      </c>
      <c r="N13" s="163" t="str">
        <f>+C28</f>
        <v>CONTRIBUCIONES Y MEJORAS</v>
      </c>
      <c r="O13" s="165">
        <f>+E28</f>
        <v>110000000</v>
      </c>
      <c r="P13" s="165"/>
      <c r="Q13" s="166">
        <f>+O13/$O$17</f>
        <v>3.2004371969452737E-2</v>
      </c>
      <c r="R13" s="165">
        <v>110000000</v>
      </c>
      <c r="S13" s="166">
        <f t="shared" ref="S13:S17" si="2">(O13-R13)/R13</f>
        <v>0</v>
      </c>
      <c r="U13" s="165">
        <f t="shared" ref="U13:U17" si="3">+O13-R13</f>
        <v>0</v>
      </c>
      <c r="V13" s="166">
        <f t="shared" ref="V13:V17" si="4">+U13/R13</f>
        <v>0</v>
      </c>
    </row>
    <row r="14" spans="2:22" ht="21" customHeight="1" x14ac:dyDescent="0.3">
      <c r="B14" s="27">
        <v>1.4</v>
      </c>
      <c r="C14" s="28" t="s">
        <v>30</v>
      </c>
      <c r="D14" s="51"/>
      <c r="E14" s="44">
        <v>0</v>
      </c>
      <c r="F14" s="45"/>
      <c r="G14" s="40">
        <v>0</v>
      </c>
      <c r="H14" s="41">
        <v>0</v>
      </c>
      <c r="I14" s="24"/>
      <c r="J14" s="42">
        <v>0</v>
      </c>
      <c r="K14" s="49">
        <v>0</v>
      </c>
      <c r="N14" s="163" t="str">
        <f>+C35</f>
        <v>DERECHOS</v>
      </c>
      <c r="O14" s="163">
        <f>+E35</f>
        <v>797093011</v>
      </c>
      <c r="P14" s="163"/>
      <c r="Q14" s="166">
        <f>+O14/$O$17</f>
        <v>0.23191328380268258</v>
      </c>
      <c r="R14" s="163">
        <v>828254898</v>
      </c>
      <c r="S14" s="166">
        <f t="shared" si="2"/>
        <v>-3.7623546899930319E-2</v>
      </c>
      <c r="U14" s="165">
        <f t="shared" si="3"/>
        <v>-31161887</v>
      </c>
      <c r="V14" s="166">
        <f t="shared" si="4"/>
        <v>-3.7623546899930319E-2</v>
      </c>
    </row>
    <row r="15" spans="2:22" ht="18.75" customHeight="1" x14ac:dyDescent="0.3">
      <c r="B15" s="27">
        <v>1.5</v>
      </c>
      <c r="C15" s="28" t="s">
        <v>31</v>
      </c>
      <c r="D15" s="51"/>
      <c r="E15" s="44">
        <f>+D16</f>
        <v>703372560</v>
      </c>
      <c r="F15" s="45"/>
      <c r="G15" s="46">
        <f>+G16</f>
        <v>0</v>
      </c>
      <c r="H15" s="47">
        <f>+H16</f>
        <v>496152154.51750004</v>
      </c>
      <c r="I15" s="24"/>
      <c r="J15" s="33">
        <f>E15-G15</f>
        <v>703372560</v>
      </c>
      <c r="K15" s="48" t="e">
        <f t="shared" ref="K15:K21" si="5">J15/G15</f>
        <v>#DIV/0!</v>
      </c>
      <c r="N15" s="163" t="str">
        <f>+C58</f>
        <v>PRODUCTOS</v>
      </c>
      <c r="O15" s="165">
        <f>+E58</f>
        <v>32746071</v>
      </c>
      <c r="P15" s="165"/>
      <c r="Q15" s="166">
        <f>+O15/$O$17</f>
        <v>9.527431243837356E-3</v>
      </c>
      <c r="R15" s="165">
        <v>40461000</v>
      </c>
      <c r="S15" s="166">
        <f t="shared" si="2"/>
        <v>-0.19067568769926596</v>
      </c>
      <c r="U15" s="165">
        <f t="shared" si="3"/>
        <v>-7714929</v>
      </c>
      <c r="V15" s="166">
        <f t="shared" si="4"/>
        <v>-0.19067568769926596</v>
      </c>
    </row>
    <row r="16" spans="2:22" x14ac:dyDescent="0.3">
      <c r="B16" s="50" t="s">
        <v>32</v>
      </c>
      <c r="C16" s="36" t="s">
        <v>33</v>
      </c>
      <c r="D16" s="37">
        <f>+#REF!+#REF!</f>
        <v>703372560</v>
      </c>
      <c r="E16" s="38"/>
      <c r="F16" s="39"/>
      <c r="G16" s="40"/>
      <c r="H16" s="41">
        <v>496152154.51750004</v>
      </c>
      <c r="I16" s="24"/>
      <c r="J16" s="42">
        <f>D16-G16</f>
        <v>703372560</v>
      </c>
      <c r="K16" s="49" t="e">
        <f t="shared" si="5"/>
        <v>#DIV/0!</v>
      </c>
      <c r="N16" s="163" t="str">
        <f>+C78</f>
        <v xml:space="preserve"> APROVECHAMIENTOS </v>
      </c>
      <c r="O16" s="165">
        <f>+E78</f>
        <v>172662874</v>
      </c>
      <c r="P16" s="165"/>
      <c r="Q16" s="166">
        <f>+O16/$O$17</f>
        <v>5.0236062225552269E-2</v>
      </c>
      <c r="R16" s="165">
        <v>485000493</v>
      </c>
      <c r="S16" s="166">
        <f t="shared" si="2"/>
        <v>-0.6439944361046247</v>
      </c>
      <c r="U16" s="165">
        <f t="shared" si="3"/>
        <v>-312337619</v>
      </c>
      <c r="V16" s="166">
        <f t="shared" si="4"/>
        <v>-0.6439944361046247</v>
      </c>
    </row>
    <row r="17" spans="2:22" x14ac:dyDescent="0.3">
      <c r="B17" s="27">
        <v>1.6</v>
      </c>
      <c r="C17" s="28" t="s">
        <v>34</v>
      </c>
      <c r="D17" s="51"/>
      <c r="E17" s="44">
        <f>+#REF!</f>
        <v>1230000000</v>
      </c>
      <c r="F17" s="45"/>
      <c r="G17" s="46">
        <f>+G18+G19+G21+G20</f>
        <v>0</v>
      </c>
      <c r="H17" s="47">
        <f>+H18+H19+H21+H20</f>
        <v>25954045</v>
      </c>
      <c r="I17" s="24"/>
      <c r="J17" s="33">
        <f>E17-G17</f>
        <v>1230000000</v>
      </c>
      <c r="K17" s="48" t="e">
        <f t="shared" si="5"/>
        <v>#DIV/0!</v>
      </c>
      <c r="O17" s="165">
        <f>SUM(O12:O16)</f>
        <v>3437030419</v>
      </c>
      <c r="P17" s="165"/>
      <c r="Q17" s="168">
        <f>SUM(Q12:Q16)</f>
        <v>1</v>
      </c>
      <c r="R17" s="165">
        <f>SUM(R12:R16)</f>
        <v>3725392584</v>
      </c>
      <c r="S17" s="166">
        <f t="shared" si="2"/>
        <v>-7.7404503954421361E-2</v>
      </c>
      <c r="U17" s="165">
        <f t="shared" si="3"/>
        <v>-288362165</v>
      </c>
      <c r="V17" s="166">
        <f t="shared" si="4"/>
        <v>-7.7404503954421361E-2</v>
      </c>
    </row>
    <row r="18" spans="2:22" ht="33" x14ac:dyDescent="0.3">
      <c r="B18" s="50" t="s">
        <v>35</v>
      </c>
      <c r="C18" s="36" t="s">
        <v>36</v>
      </c>
      <c r="D18" s="52">
        <f>+#REF!</f>
        <v>400000000</v>
      </c>
      <c r="E18" s="53"/>
      <c r="F18" s="39"/>
      <c r="G18" s="54"/>
      <c r="H18" s="41">
        <v>1210976</v>
      </c>
      <c r="I18" s="55"/>
      <c r="J18" s="42">
        <f>D18-G18</f>
        <v>400000000</v>
      </c>
      <c r="K18" s="49" t="e">
        <f t="shared" si="5"/>
        <v>#DIV/0!</v>
      </c>
    </row>
    <row r="19" spans="2:22" x14ac:dyDescent="0.3">
      <c r="B19" s="50" t="s">
        <v>37</v>
      </c>
      <c r="C19" s="36" t="s">
        <v>38</v>
      </c>
      <c r="D19" s="52">
        <f>+#REF!</f>
        <v>130000000</v>
      </c>
      <c r="E19" s="53"/>
      <c r="F19" s="39"/>
      <c r="G19" s="54"/>
      <c r="H19" s="41">
        <v>2224927</v>
      </c>
      <c r="I19" s="55"/>
      <c r="J19" s="42">
        <f>D19-G19</f>
        <v>130000000</v>
      </c>
      <c r="K19" s="49" t="e">
        <f t="shared" si="5"/>
        <v>#DIV/0!</v>
      </c>
    </row>
    <row r="20" spans="2:22" ht="33" x14ac:dyDescent="0.3">
      <c r="B20" s="50" t="s">
        <v>39</v>
      </c>
      <c r="C20" s="36" t="s">
        <v>40</v>
      </c>
      <c r="D20" s="52">
        <f>+#REF!</f>
        <v>500000000</v>
      </c>
      <c r="E20" s="53"/>
      <c r="F20" s="39"/>
      <c r="G20" s="54"/>
      <c r="H20" s="41">
        <v>3000185</v>
      </c>
      <c r="I20" s="55"/>
      <c r="J20" s="42">
        <f>D20-G20</f>
        <v>500000000</v>
      </c>
      <c r="K20" s="49" t="e">
        <f t="shared" si="5"/>
        <v>#DIV/0!</v>
      </c>
    </row>
    <row r="21" spans="2:22" x14ac:dyDescent="0.3">
      <c r="B21" s="50" t="s">
        <v>41</v>
      </c>
      <c r="C21" s="36" t="s">
        <v>42</v>
      </c>
      <c r="D21" s="52">
        <f>+#REF!</f>
        <v>200000000</v>
      </c>
      <c r="E21" s="53"/>
      <c r="F21" s="39"/>
      <c r="G21" s="54"/>
      <c r="H21" s="41">
        <v>19517957</v>
      </c>
      <c r="I21" s="55"/>
      <c r="J21" s="42">
        <f>D21-G21</f>
        <v>200000000</v>
      </c>
      <c r="K21" s="49" t="e">
        <f t="shared" si="5"/>
        <v>#DIV/0!</v>
      </c>
    </row>
    <row r="22" spans="2:22" x14ac:dyDescent="0.3">
      <c r="B22" s="27">
        <v>1.7</v>
      </c>
      <c r="C22" s="28" t="s">
        <v>43</v>
      </c>
      <c r="D22" s="51"/>
      <c r="E22" s="44">
        <f>+#REF!</f>
        <v>2107124</v>
      </c>
      <c r="F22" s="45"/>
      <c r="G22" s="46"/>
      <c r="H22" s="47">
        <v>1031946.19</v>
      </c>
      <c r="I22" s="24"/>
      <c r="J22" s="33">
        <f>E22-G22</f>
        <v>2107124</v>
      </c>
      <c r="K22" s="48">
        <v>1</v>
      </c>
    </row>
    <row r="23" spans="2:22" x14ac:dyDescent="0.3">
      <c r="B23" s="27">
        <v>1.8</v>
      </c>
      <c r="C23" s="28" t="s">
        <v>44</v>
      </c>
      <c r="D23" s="51"/>
      <c r="E23" s="44">
        <f>+D24+D25</f>
        <v>338617422</v>
      </c>
      <c r="F23" s="45"/>
      <c r="G23" s="46"/>
      <c r="H23" s="47"/>
      <c r="I23" s="24"/>
      <c r="J23" s="33"/>
      <c r="K23" s="48"/>
    </row>
    <row r="24" spans="2:22" x14ac:dyDescent="0.3">
      <c r="B24" s="56" t="s">
        <v>45</v>
      </c>
      <c r="C24" s="36" t="s">
        <v>46</v>
      </c>
      <c r="D24" s="37">
        <f>+#REF!</f>
        <v>179657603</v>
      </c>
      <c r="E24" s="38"/>
      <c r="F24" s="45"/>
      <c r="G24" s="46"/>
      <c r="H24" s="47"/>
      <c r="I24" s="24"/>
      <c r="J24" s="33"/>
      <c r="K24" s="48"/>
    </row>
    <row r="25" spans="2:22" x14ac:dyDescent="0.3">
      <c r="B25" s="56" t="s">
        <v>47</v>
      </c>
      <c r="C25" s="36" t="s">
        <v>48</v>
      </c>
      <c r="D25" s="37">
        <f>+#REF!</f>
        <v>158959819</v>
      </c>
      <c r="E25" s="38"/>
      <c r="F25" s="45"/>
      <c r="G25" s="46"/>
      <c r="H25" s="47"/>
      <c r="I25" s="24"/>
      <c r="J25" s="33"/>
      <c r="K25" s="48"/>
    </row>
    <row r="26" spans="2:22" ht="60" customHeight="1" x14ac:dyDescent="0.3">
      <c r="B26" s="27">
        <v>1.9</v>
      </c>
      <c r="C26" s="28" t="s">
        <v>49</v>
      </c>
      <c r="D26" s="51"/>
      <c r="E26" s="44">
        <v>0</v>
      </c>
      <c r="F26" s="45"/>
      <c r="G26" s="46"/>
      <c r="H26" s="47"/>
      <c r="I26" s="24"/>
      <c r="J26" s="33"/>
      <c r="K26" s="48"/>
    </row>
    <row r="27" spans="2:22" x14ac:dyDescent="0.3">
      <c r="B27" s="57">
        <v>2</v>
      </c>
      <c r="C27" s="58" t="s">
        <v>50</v>
      </c>
      <c r="D27" s="59"/>
      <c r="E27" s="60">
        <v>0</v>
      </c>
      <c r="F27" s="21"/>
      <c r="G27" s="61">
        <v>0</v>
      </c>
      <c r="H27" s="62">
        <v>0</v>
      </c>
      <c r="I27" s="24"/>
      <c r="J27" s="25">
        <f>E27-G27</f>
        <v>0</v>
      </c>
      <c r="K27" s="26">
        <v>0</v>
      </c>
    </row>
    <row r="28" spans="2:22" x14ac:dyDescent="0.3">
      <c r="B28" s="57">
        <v>3</v>
      </c>
      <c r="C28" s="58" t="s">
        <v>51</v>
      </c>
      <c r="D28" s="59"/>
      <c r="E28" s="60">
        <f>+E29</f>
        <v>110000000</v>
      </c>
      <c r="F28" s="21"/>
      <c r="G28" s="61">
        <f>+G30+G31+G32+G33</f>
        <v>0</v>
      </c>
      <c r="H28" s="62">
        <f>+H30+H31+H32+H33</f>
        <v>114165005.18000001</v>
      </c>
      <c r="I28" s="24"/>
      <c r="J28" s="25">
        <f>E28-G28</f>
        <v>110000000</v>
      </c>
      <c r="K28" s="26" t="e">
        <f>J28/G28</f>
        <v>#DIV/0!</v>
      </c>
    </row>
    <row r="29" spans="2:22" x14ac:dyDescent="0.3">
      <c r="B29" s="27">
        <v>3.1</v>
      </c>
      <c r="C29" s="28" t="s">
        <v>52</v>
      </c>
      <c r="D29" s="29"/>
      <c r="E29" s="30">
        <f>+D30</f>
        <v>110000000</v>
      </c>
      <c r="F29" s="21"/>
      <c r="G29" s="63">
        <f>+G30</f>
        <v>0</v>
      </c>
      <c r="H29" s="64">
        <f>+H30</f>
        <v>108544430.81</v>
      </c>
      <c r="I29" s="65">
        <f>+I30</f>
        <v>0</v>
      </c>
      <c r="J29" s="65">
        <f>+J30</f>
        <v>110000000</v>
      </c>
      <c r="K29" s="49" t="e">
        <f>J29/G29</f>
        <v>#DIV/0!</v>
      </c>
    </row>
    <row r="30" spans="2:22" hidden="1" x14ac:dyDescent="0.3">
      <c r="B30" s="50" t="s">
        <v>53</v>
      </c>
      <c r="C30" s="66" t="s">
        <v>54</v>
      </c>
      <c r="D30" s="37">
        <f>#REF!</f>
        <v>110000000</v>
      </c>
      <c r="E30" s="38"/>
      <c r="F30" s="39"/>
      <c r="G30" s="40"/>
      <c r="H30" s="41">
        <v>108544430.81</v>
      </c>
      <c r="I30" s="24"/>
      <c r="J30" s="42">
        <f>D30-G30</f>
        <v>110000000</v>
      </c>
      <c r="K30" s="49" t="e">
        <f>J30/G30</f>
        <v>#DIV/0!</v>
      </c>
    </row>
    <row r="31" spans="2:22" hidden="1" x14ac:dyDescent="0.3">
      <c r="B31" s="50" t="s">
        <v>55</v>
      </c>
      <c r="C31" s="66" t="s">
        <v>56</v>
      </c>
      <c r="D31" s="37">
        <f>#REF!</f>
        <v>0</v>
      </c>
      <c r="E31" s="38"/>
      <c r="F31" s="39"/>
      <c r="G31" s="40"/>
      <c r="H31" s="41">
        <v>2661547.3099999996</v>
      </c>
      <c r="I31" s="24"/>
      <c r="J31" s="42">
        <f>D31-G31</f>
        <v>0</v>
      </c>
      <c r="K31" s="49"/>
    </row>
    <row r="32" spans="2:22" hidden="1" x14ac:dyDescent="0.3">
      <c r="B32" s="50" t="s">
        <v>57</v>
      </c>
      <c r="C32" s="66" t="s">
        <v>58</v>
      </c>
      <c r="D32" s="37">
        <f>#REF!</f>
        <v>0</v>
      </c>
      <c r="E32" s="38"/>
      <c r="F32" s="39"/>
      <c r="G32" s="40"/>
      <c r="H32" s="41">
        <v>2709027.0599999996</v>
      </c>
      <c r="I32" s="24"/>
      <c r="J32" s="42">
        <f>D32-G32</f>
        <v>0</v>
      </c>
      <c r="K32" s="49"/>
    </row>
    <row r="33" spans="2:11" hidden="1" x14ac:dyDescent="0.3">
      <c r="B33" s="50" t="s">
        <v>59</v>
      </c>
      <c r="C33" s="66" t="s">
        <v>60</v>
      </c>
      <c r="D33" s="37">
        <f>#REF!</f>
        <v>0</v>
      </c>
      <c r="E33" s="38"/>
      <c r="F33" s="39"/>
      <c r="G33" s="67"/>
      <c r="H33" s="68">
        <v>250000</v>
      </c>
      <c r="I33" s="24"/>
      <c r="J33" s="42">
        <f>D33-G33</f>
        <v>0</v>
      </c>
      <c r="K33" s="49"/>
    </row>
    <row r="34" spans="2:11" ht="44.25" x14ac:dyDescent="0.3">
      <c r="B34" s="69">
        <v>3.2</v>
      </c>
      <c r="C34" s="28" t="s">
        <v>61</v>
      </c>
      <c r="D34" s="37"/>
      <c r="E34" s="38"/>
      <c r="F34" s="39"/>
      <c r="G34" s="67"/>
      <c r="H34" s="68"/>
      <c r="I34" s="24"/>
      <c r="J34" s="42"/>
      <c r="K34" s="49"/>
    </row>
    <row r="35" spans="2:11" x14ac:dyDescent="0.3">
      <c r="B35" s="57">
        <v>4</v>
      </c>
      <c r="C35" s="58" t="s">
        <v>62</v>
      </c>
      <c r="D35" s="59"/>
      <c r="E35" s="60">
        <f>ROUND(E36+E37+E38+E55+E56+E57,0)</f>
        <v>797093011</v>
      </c>
      <c r="F35" s="21"/>
      <c r="G35" s="61" t="e">
        <f>+G36+G37+G38+G55+G56+#REF!</f>
        <v>#REF!</v>
      </c>
      <c r="H35" s="62" t="e">
        <f>+H36+H37+H38+H55+H56+#REF!</f>
        <v>#REF!</v>
      </c>
      <c r="I35" s="24"/>
      <c r="J35" s="25" t="e">
        <f>E35-G35</f>
        <v>#REF!</v>
      </c>
      <c r="K35" s="70" t="e">
        <f>J35/G35</f>
        <v>#REF!</v>
      </c>
    </row>
    <row r="36" spans="2:11" ht="30" x14ac:dyDescent="0.3">
      <c r="B36" s="27">
        <v>4.0999999999999996</v>
      </c>
      <c r="C36" s="71" t="s">
        <v>63</v>
      </c>
      <c r="D36" s="29"/>
      <c r="E36" s="30">
        <v>0</v>
      </c>
      <c r="F36" s="72"/>
      <c r="G36" s="67">
        <v>0</v>
      </c>
      <c r="H36" s="68">
        <v>0</v>
      </c>
      <c r="I36" s="24"/>
      <c r="J36" s="42">
        <v>0</v>
      </c>
      <c r="K36" s="49">
        <v>0</v>
      </c>
    </row>
    <row r="37" spans="2:11" x14ac:dyDescent="0.3">
      <c r="B37" s="27">
        <v>4.2</v>
      </c>
      <c r="C37" s="28" t="s">
        <v>64</v>
      </c>
      <c r="D37" s="29"/>
      <c r="E37" s="30">
        <v>0</v>
      </c>
      <c r="F37" s="72"/>
      <c r="G37" s="67">
        <v>0</v>
      </c>
      <c r="H37" s="68">
        <v>0</v>
      </c>
      <c r="I37" s="24"/>
      <c r="J37" s="42">
        <v>0</v>
      </c>
      <c r="K37" s="49">
        <v>0</v>
      </c>
    </row>
    <row r="38" spans="2:11" x14ac:dyDescent="0.3">
      <c r="B38" s="27">
        <v>4.3</v>
      </c>
      <c r="C38" s="28" t="s">
        <v>65</v>
      </c>
      <c r="D38" s="29"/>
      <c r="E38" s="30">
        <f>ROUND(D39+D40+D41+D42+D48+D49+D50+D51+D52+D53+D54,0)</f>
        <v>786663061</v>
      </c>
      <c r="F38" s="21"/>
      <c r="G38" s="73">
        <f>+G39+G40+G41+G42+G48+G49+G50+G51+G52+G53</f>
        <v>2457736</v>
      </c>
      <c r="H38" s="74">
        <f>+H39+H40+H41+H42+H48+H49+H50+H51+H52+H53</f>
        <v>547996066.41777575</v>
      </c>
      <c r="I38" s="24"/>
      <c r="J38" s="42"/>
      <c r="K38" s="49"/>
    </row>
    <row r="39" spans="2:11" x14ac:dyDescent="0.3">
      <c r="B39" s="50" t="s">
        <v>66</v>
      </c>
      <c r="C39" s="36" t="s">
        <v>67</v>
      </c>
      <c r="D39" s="37">
        <f>ROUND(#REF!,0)</f>
        <v>1115710</v>
      </c>
      <c r="E39" s="75"/>
      <c r="F39" s="45"/>
      <c r="G39" s="76">
        <v>2457736</v>
      </c>
      <c r="H39" s="77">
        <v>654402.57142857136</v>
      </c>
      <c r="I39" s="24"/>
      <c r="J39" s="33">
        <f t="shared" ref="J39:J53" si="6">D39-G39</f>
        <v>-1342026</v>
      </c>
      <c r="K39" s="34">
        <f t="shared" ref="K39:K52" si="7">J39/G39</f>
        <v>-0.54604156020011918</v>
      </c>
    </row>
    <row r="40" spans="2:11" x14ac:dyDescent="0.3">
      <c r="B40" s="50" t="s">
        <v>68</v>
      </c>
      <c r="C40" s="36" t="s">
        <v>69</v>
      </c>
      <c r="D40" s="37">
        <f>ROUND(#REF!,0)</f>
        <v>21143115</v>
      </c>
      <c r="E40" s="75"/>
      <c r="F40" s="45"/>
      <c r="G40" s="76"/>
      <c r="H40" s="77">
        <v>17457835.009999998</v>
      </c>
      <c r="I40" s="24"/>
      <c r="J40" s="33">
        <f t="shared" si="6"/>
        <v>21143115</v>
      </c>
      <c r="K40" s="34" t="e">
        <f t="shared" si="7"/>
        <v>#DIV/0!</v>
      </c>
    </row>
    <row r="41" spans="2:11" hidden="1" x14ac:dyDescent="0.3">
      <c r="B41" s="50"/>
      <c r="C41" s="78"/>
      <c r="D41" s="37">
        <f>#REF!</f>
        <v>0</v>
      </c>
      <c r="E41" s="75"/>
      <c r="F41" s="45"/>
      <c r="G41" s="76"/>
      <c r="H41" s="77">
        <v>134436</v>
      </c>
      <c r="I41" s="24"/>
      <c r="J41" s="33">
        <f t="shared" si="6"/>
        <v>0</v>
      </c>
      <c r="K41" s="48" t="e">
        <f t="shared" si="7"/>
        <v>#DIV/0!</v>
      </c>
    </row>
    <row r="42" spans="2:11" x14ac:dyDescent="0.3">
      <c r="B42" s="50" t="s">
        <v>70</v>
      </c>
      <c r="C42" s="36" t="s">
        <v>71</v>
      </c>
      <c r="D42" s="37">
        <f>ROUND(#REF!,0)</f>
        <v>644342664</v>
      </c>
      <c r="E42" s="75"/>
      <c r="F42" s="45"/>
      <c r="G42" s="79">
        <f>SUM(G43:G47)</f>
        <v>0</v>
      </c>
      <c r="H42" s="80">
        <f>SUM(H43:H47)</f>
        <v>465469647.84063286</v>
      </c>
      <c r="I42" s="24"/>
      <c r="J42" s="33">
        <f t="shared" si="6"/>
        <v>644342664</v>
      </c>
      <c r="K42" s="48" t="e">
        <f t="shared" si="7"/>
        <v>#DIV/0!</v>
      </c>
    </row>
    <row r="43" spans="2:11" hidden="1" x14ac:dyDescent="0.3">
      <c r="B43" s="81"/>
      <c r="C43" s="36" t="s">
        <v>72</v>
      </c>
      <c r="D43" s="37">
        <f>#REF!</f>
        <v>50010097</v>
      </c>
      <c r="E43" s="38"/>
      <c r="F43" s="39"/>
      <c r="G43" s="82"/>
      <c r="H43" s="83">
        <v>46420443.469999999</v>
      </c>
      <c r="I43" s="24"/>
      <c r="J43" s="42">
        <f t="shared" si="6"/>
        <v>50010097</v>
      </c>
      <c r="K43" s="49" t="e">
        <f t="shared" si="7"/>
        <v>#DIV/0!</v>
      </c>
    </row>
    <row r="44" spans="2:11" hidden="1" x14ac:dyDescent="0.3">
      <c r="B44" s="81"/>
      <c r="C44" s="36" t="s">
        <v>73</v>
      </c>
      <c r="D44" s="37">
        <f>#REF!</f>
        <v>478804131</v>
      </c>
      <c r="E44" s="38"/>
      <c r="F44" s="39"/>
      <c r="G44" s="82"/>
      <c r="H44" s="83">
        <v>328084570.19999999</v>
      </c>
      <c r="I44" s="24"/>
      <c r="J44" s="42">
        <f t="shared" si="6"/>
        <v>478804131</v>
      </c>
      <c r="K44" s="49" t="e">
        <f t="shared" si="7"/>
        <v>#DIV/0!</v>
      </c>
    </row>
    <row r="45" spans="2:11" hidden="1" x14ac:dyDescent="0.3">
      <c r="B45" s="81"/>
      <c r="C45" s="36" t="s">
        <v>74</v>
      </c>
      <c r="D45" s="37">
        <f>#REF!</f>
        <v>29842317</v>
      </c>
      <c r="E45" s="38"/>
      <c r="F45" s="39"/>
      <c r="G45" s="82"/>
      <c r="H45" s="83">
        <v>25149724.409999996</v>
      </c>
      <c r="I45" s="24"/>
      <c r="J45" s="42">
        <f t="shared" si="6"/>
        <v>29842317</v>
      </c>
      <c r="K45" s="43" t="e">
        <f t="shared" si="7"/>
        <v>#DIV/0!</v>
      </c>
    </row>
    <row r="46" spans="2:11" hidden="1" x14ac:dyDescent="0.3">
      <c r="B46" s="81"/>
      <c r="C46" s="36" t="s">
        <v>75</v>
      </c>
      <c r="D46" s="37">
        <f>#REF!</f>
        <v>80628839</v>
      </c>
      <c r="E46" s="38"/>
      <c r="F46" s="39"/>
      <c r="G46" s="82"/>
      <c r="H46" s="83">
        <v>65329637.870000005</v>
      </c>
      <c r="I46" s="24"/>
      <c r="J46" s="42">
        <f t="shared" si="6"/>
        <v>80628839</v>
      </c>
      <c r="K46" s="49" t="e">
        <f t="shared" si="7"/>
        <v>#DIV/0!</v>
      </c>
    </row>
    <row r="47" spans="2:11" hidden="1" x14ac:dyDescent="0.3">
      <c r="B47" s="81"/>
      <c r="C47" s="36" t="s">
        <v>76</v>
      </c>
      <c r="D47" s="37">
        <f>#REF!</f>
        <v>57280</v>
      </c>
      <c r="E47" s="38"/>
      <c r="F47" s="39"/>
      <c r="G47" s="82"/>
      <c r="H47" s="83">
        <v>485271.89063290582</v>
      </c>
      <c r="I47" s="24"/>
      <c r="J47" s="42">
        <f t="shared" si="6"/>
        <v>57280</v>
      </c>
      <c r="K47" s="49" t="e">
        <f t="shared" si="7"/>
        <v>#DIV/0!</v>
      </c>
    </row>
    <row r="48" spans="2:11" x14ac:dyDescent="0.3">
      <c r="B48" s="50" t="s">
        <v>77</v>
      </c>
      <c r="C48" s="36" t="s">
        <v>78</v>
      </c>
      <c r="D48" s="37">
        <f>ROUND(#REF!,0)</f>
        <v>4477916</v>
      </c>
      <c r="E48" s="75"/>
      <c r="F48" s="45"/>
      <c r="G48" s="76"/>
      <c r="H48" s="77">
        <v>1204405.0142857141</v>
      </c>
      <c r="I48" s="24"/>
      <c r="J48" s="33">
        <f t="shared" si="6"/>
        <v>4477916</v>
      </c>
      <c r="K48" s="34" t="e">
        <f t="shared" si="7"/>
        <v>#DIV/0!</v>
      </c>
    </row>
    <row r="49" spans="2:11" x14ac:dyDescent="0.3">
      <c r="B49" s="50" t="s">
        <v>79</v>
      </c>
      <c r="C49" s="36" t="s">
        <v>80</v>
      </c>
      <c r="D49" s="37">
        <f>ROUND(#REF!,0)</f>
        <v>2019457</v>
      </c>
      <c r="E49" s="75"/>
      <c r="F49" s="45"/>
      <c r="G49" s="76"/>
      <c r="H49" s="77">
        <v>2157025.3971428573</v>
      </c>
      <c r="I49" s="24"/>
      <c r="J49" s="33">
        <f t="shared" si="6"/>
        <v>2019457</v>
      </c>
      <c r="K49" s="48" t="e">
        <f t="shared" si="7"/>
        <v>#DIV/0!</v>
      </c>
    </row>
    <row r="50" spans="2:11" x14ac:dyDescent="0.3">
      <c r="B50" s="50" t="s">
        <v>81</v>
      </c>
      <c r="C50" s="36" t="s">
        <v>82</v>
      </c>
      <c r="D50" s="37">
        <f>ROUND(#REF!,0)</f>
        <v>1354371</v>
      </c>
      <c r="E50" s="75"/>
      <c r="F50" s="45"/>
      <c r="G50" s="76"/>
      <c r="H50" s="77">
        <v>1505892.3985714286</v>
      </c>
      <c r="I50" s="24"/>
      <c r="J50" s="33">
        <f t="shared" si="6"/>
        <v>1354371</v>
      </c>
      <c r="K50" s="34" t="e">
        <f t="shared" si="7"/>
        <v>#DIV/0!</v>
      </c>
    </row>
    <row r="51" spans="2:11" x14ac:dyDescent="0.3">
      <c r="B51" s="50" t="s">
        <v>83</v>
      </c>
      <c r="C51" s="36" t="s">
        <v>84</v>
      </c>
      <c r="D51" s="37">
        <f>ROUND(#REF!,0)</f>
        <v>674861</v>
      </c>
      <c r="E51" s="75"/>
      <c r="F51" s="45"/>
      <c r="G51" s="76"/>
      <c r="H51" s="77">
        <v>432821</v>
      </c>
      <c r="I51" s="24"/>
      <c r="J51" s="33">
        <f t="shared" si="6"/>
        <v>674861</v>
      </c>
      <c r="K51" s="48" t="e">
        <f t="shared" si="7"/>
        <v>#DIV/0!</v>
      </c>
    </row>
    <row r="52" spans="2:11" x14ac:dyDescent="0.3">
      <c r="B52" s="50" t="s">
        <v>85</v>
      </c>
      <c r="C52" s="36" t="s">
        <v>86</v>
      </c>
      <c r="D52" s="37">
        <f>ROUND(#REF!,0)</f>
        <v>46402988</v>
      </c>
      <c r="E52" s="75"/>
      <c r="F52" s="45"/>
      <c r="G52" s="76"/>
      <c r="H52" s="77">
        <v>58973159.18571429</v>
      </c>
      <c r="I52" s="24"/>
      <c r="J52" s="33">
        <f t="shared" si="6"/>
        <v>46402988</v>
      </c>
      <c r="K52" s="48" t="e">
        <f t="shared" si="7"/>
        <v>#DIV/0!</v>
      </c>
    </row>
    <row r="53" spans="2:11" x14ac:dyDescent="0.3">
      <c r="B53" s="50" t="s">
        <v>87</v>
      </c>
      <c r="C53" s="36" t="s">
        <v>88</v>
      </c>
      <c r="D53" s="37">
        <f>#REF!</f>
        <v>0</v>
      </c>
      <c r="E53" s="75"/>
      <c r="F53" s="45"/>
      <c r="G53" s="76"/>
      <c r="H53" s="77">
        <v>6442</v>
      </c>
      <c r="I53" s="24"/>
      <c r="J53" s="33">
        <f t="shared" si="6"/>
        <v>0</v>
      </c>
      <c r="K53" s="48">
        <v>1</v>
      </c>
    </row>
    <row r="54" spans="2:11" x14ac:dyDescent="0.3">
      <c r="B54" s="50" t="s">
        <v>89</v>
      </c>
      <c r="C54" s="36" t="s">
        <v>90</v>
      </c>
      <c r="D54" s="37">
        <f>ROUND(#REF!,0)</f>
        <v>65131979</v>
      </c>
      <c r="E54" s="75"/>
      <c r="F54" s="45"/>
      <c r="G54" s="76"/>
      <c r="H54" s="77"/>
      <c r="I54" s="24"/>
      <c r="J54" s="33"/>
      <c r="K54" s="48"/>
    </row>
    <row r="55" spans="2:11" x14ac:dyDescent="0.3">
      <c r="B55" s="27">
        <v>4.4000000000000004</v>
      </c>
      <c r="C55" s="28" t="s">
        <v>91</v>
      </c>
      <c r="D55" s="29"/>
      <c r="E55" s="30">
        <f>ROUND(#REF!,0)</f>
        <v>7929950</v>
      </c>
      <c r="F55" s="21"/>
      <c r="G55" s="46"/>
      <c r="H55" s="47">
        <v>6286506.6542857159</v>
      </c>
      <c r="I55" s="24"/>
      <c r="J55" s="33">
        <f>E55-G55</f>
        <v>7929950</v>
      </c>
      <c r="K55" s="34" t="e">
        <f>J55/G55</f>
        <v>#DIV/0!</v>
      </c>
    </row>
    <row r="56" spans="2:11" x14ac:dyDescent="0.3">
      <c r="B56" s="27">
        <v>4.5</v>
      </c>
      <c r="C56" s="28" t="s">
        <v>92</v>
      </c>
      <c r="D56" s="29"/>
      <c r="E56" s="30">
        <f>ROUND(#REF!,0)</f>
        <v>2500000</v>
      </c>
      <c r="F56" s="21"/>
      <c r="G56" s="46"/>
      <c r="H56" s="47">
        <v>2273124</v>
      </c>
      <c r="I56" s="24"/>
      <c r="J56" s="42">
        <f>E56-G56</f>
        <v>2500000</v>
      </c>
      <c r="K56" s="49">
        <v>1</v>
      </c>
    </row>
    <row r="57" spans="2:11" ht="44.25" x14ac:dyDescent="0.3">
      <c r="B57" s="27">
        <v>4.5999999999999996</v>
      </c>
      <c r="C57" s="28" t="s">
        <v>93</v>
      </c>
      <c r="D57" s="29"/>
      <c r="E57" s="30">
        <v>0</v>
      </c>
      <c r="F57" s="21"/>
      <c r="G57" s="46"/>
      <c r="H57" s="47"/>
      <c r="I57" s="24"/>
      <c r="J57" s="42"/>
      <c r="K57" s="49"/>
    </row>
    <row r="58" spans="2:11" x14ac:dyDescent="0.3">
      <c r="B58" s="57">
        <v>5</v>
      </c>
      <c r="C58" s="58" t="s">
        <v>94</v>
      </c>
      <c r="D58" s="59"/>
      <c r="E58" s="60">
        <f>+E59+E68+E77</f>
        <v>32746071</v>
      </c>
      <c r="F58" s="21"/>
      <c r="G58" s="84" t="e">
        <f>+G59+G68+#REF!</f>
        <v>#REF!</v>
      </c>
      <c r="H58" s="85" t="e">
        <f>+H59+H68+#REF!</f>
        <v>#REF!</v>
      </c>
      <c r="I58" s="24"/>
      <c r="J58" s="25" t="e">
        <f>E58-G58</f>
        <v>#REF!</v>
      </c>
      <c r="K58" s="26" t="e">
        <f>J58/G58</f>
        <v>#REF!</v>
      </c>
    </row>
    <row r="59" spans="2:11" x14ac:dyDescent="0.3">
      <c r="B59" s="27">
        <v>5.0999999999999996</v>
      </c>
      <c r="C59" s="28" t="s">
        <v>94</v>
      </c>
      <c r="D59" s="29"/>
      <c r="E59" s="30">
        <f>ROUND(#REF!,0)</f>
        <v>32746071</v>
      </c>
      <c r="F59" s="21"/>
      <c r="G59" s="46"/>
      <c r="H59" s="47">
        <v>5166508.99</v>
      </c>
      <c r="I59" s="24"/>
      <c r="J59" s="42">
        <f>E59-G59</f>
        <v>32746071</v>
      </c>
      <c r="K59" s="43" t="e">
        <f>J59/G59</f>
        <v>#DIV/0!</v>
      </c>
    </row>
    <row r="60" spans="2:11" x14ac:dyDescent="0.3">
      <c r="B60" s="35" t="s">
        <v>95</v>
      </c>
      <c r="C60" s="86" t="s">
        <v>96</v>
      </c>
      <c r="D60" s="52">
        <f>+#REF!</f>
        <v>487879</v>
      </c>
      <c r="E60" s="87"/>
      <c r="F60" s="21"/>
      <c r="G60" s="46"/>
      <c r="H60" s="47"/>
      <c r="I60" s="24"/>
      <c r="J60" s="42"/>
      <c r="K60" s="43"/>
    </row>
    <row r="61" spans="2:11" x14ac:dyDescent="0.3">
      <c r="B61" s="35" t="s">
        <v>97</v>
      </c>
      <c r="C61" s="86" t="s">
        <v>98</v>
      </c>
      <c r="D61" s="52">
        <f>+#REF!</f>
        <v>3484284</v>
      </c>
      <c r="E61" s="87"/>
      <c r="F61" s="21"/>
      <c r="G61" s="46"/>
      <c r="H61" s="47"/>
      <c r="I61" s="24"/>
      <c r="J61" s="42"/>
      <c r="K61" s="43"/>
    </row>
    <row r="62" spans="2:11" x14ac:dyDescent="0.3">
      <c r="B62" s="35" t="s">
        <v>99</v>
      </c>
      <c r="C62" s="86" t="s">
        <v>100</v>
      </c>
      <c r="D62" s="52">
        <f>+#REF!</f>
        <v>25000</v>
      </c>
      <c r="E62" s="87"/>
      <c r="F62" s="21"/>
      <c r="G62" s="46"/>
      <c r="H62" s="47"/>
      <c r="I62" s="24"/>
      <c r="J62" s="42"/>
      <c r="K62" s="43"/>
    </row>
    <row r="63" spans="2:11" x14ac:dyDescent="0.3">
      <c r="B63" s="35" t="s">
        <v>101</v>
      </c>
      <c r="C63" s="86" t="s">
        <v>102</v>
      </c>
      <c r="D63" s="52">
        <f>+#REF!</f>
        <v>14999.999999999998</v>
      </c>
      <c r="E63" s="87"/>
      <c r="F63" s="21"/>
      <c r="G63" s="46"/>
      <c r="H63" s="47"/>
      <c r="I63" s="24"/>
      <c r="J63" s="42"/>
      <c r="K63" s="43"/>
    </row>
    <row r="64" spans="2:11" x14ac:dyDescent="0.3">
      <c r="B64" s="35" t="s">
        <v>103</v>
      </c>
      <c r="C64" s="86" t="s">
        <v>104</v>
      </c>
      <c r="D64" s="52">
        <f>+#REF!</f>
        <v>229917</v>
      </c>
      <c r="E64" s="87"/>
      <c r="F64" s="21"/>
      <c r="G64" s="46"/>
      <c r="H64" s="47"/>
      <c r="I64" s="24"/>
      <c r="J64" s="42"/>
      <c r="K64" s="43"/>
    </row>
    <row r="65" spans="2:28" x14ac:dyDescent="0.3">
      <c r="B65" s="35" t="s">
        <v>105</v>
      </c>
      <c r="C65" s="86" t="s">
        <v>106</v>
      </c>
      <c r="D65" s="52">
        <f>+#REF!</f>
        <v>915302</v>
      </c>
      <c r="E65" s="87"/>
      <c r="F65" s="21"/>
      <c r="G65" s="46"/>
      <c r="H65" s="47"/>
      <c r="I65" s="24"/>
      <c r="J65" s="42"/>
      <c r="K65" s="43"/>
    </row>
    <row r="66" spans="2:28" x14ac:dyDescent="0.3">
      <c r="B66" s="35" t="s">
        <v>107</v>
      </c>
      <c r="C66" s="86" t="s">
        <v>108</v>
      </c>
      <c r="D66" s="52">
        <f>+#REF!</f>
        <v>1522151</v>
      </c>
      <c r="E66" s="87"/>
      <c r="F66" s="21"/>
      <c r="G66" s="46"/>
      <c r="H66" s="47"/>
      <c r="I66" s="24"/>
      <c r="J66" s="42"/>
      <c r="K66" s="43"/>
    </row>
    <row r="67" spans="2:28" x14ac:dyDescent="0.3">
      <c r="B67" s="35" t="s">
        <v>109</v>
      </c>
      <c r="C67" s="86" t="s">
        <v>110</v>
      </c>
      <c r="D67" s="52">
        <f>+#REF!</f>
        <v>12239554</v>
      </c>
      <c r="E67" s="87"/>
      <c r="F67" s="21"/>
      <c r="G67" s="46"/>
      <c r="H67" s="47"/>
      <c r="I67" s="24"/>
      <c r="J67" s="42"/>
      <c r="K67" s="43"/>
    </row>
    <row r="68" spans="2:28" s="90" customFormat="1" x14ac:dyDescent="0.3">
      <c r="B68" s="35" t="s">
        <v>111</v>
      </c>
      <c r="C68" s="86" t="s">
        <v>112</v>
      </c>
      <c r="D68" s="52">
        <f>+#REF!</f>
        <v>13000000</v>
      </c>
      <c r="E68" s="87"/>
      <c r="F68" s="21"/>
      <c r="G68" s="88"/>
      <c r="H68" s="89"/>
      <c r="I68" s="55"/>
      <c r="J68" s="42"/>
      <c r="K68" s="49"/>
      <c r="M68" s="169"/>
      <c r="N68" s="170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</row>
    <row r="69" spans="2:28" x14ac:dyDescent="0.3">
      <c r="B69" s="35" t="s">
        <v>113</v>
      </c>
      <c r="C69" s="86" t="s">
        <v>114</v>
      </c>
      <c r="D69" s="52">
        <f>+#REF!</f>
        <v>826984</v>
      </c>
      <c r="E69" s="87"/>
      <c r="F69" s="21"/>
      <c r="G69" s="46"/>
      <c r="H69" s="47"/>
      <c r="I69" s="24"/>
      <c r="J69" s="42"/>
      <c r="K69" s="43"/>
    </row>
    <row r="70" spans="2:28" hidden="1" x14ac:dyDescent="0.3">
      <c r="B70" s="50" t="s">
        <v>115</v>
      </c>
      <c r="C70" s="36" t="s">
        <v>116</v>
      </c>
      <c r="D70" s="37" t="e">
        <f>#REF!</f>
        <v>#REF!</v>
      </c>
      <c r="E70" s="38"/>
      <c r="F70" s="39"/>
      <c r="G70" s="40"/>
      <c r="H70" s="41">
        <v>4719230</v>
      </c>
      <c r="I70" s="24"/>
      <c r="J70" s="42" t="e">
        <f t="shared" ref="J70:J127" si="8">D70-G70</f>
        <v>#REF!</v>
      </c>
      <c r="K70" s="49" t="e">
        <f t="shared" ref="K70:K127" si="9">J70/G70</f>
        <v>#REF!</v>
      </c>
    </row>
    <row r="71" spans="2:28" hidden="1" x14ac:dyDescent="0.3">
      <c r="B71" s="50" t="s">
        <v>117</v>
      </c>
      <c r="C71" s="36" t="s">
        <v>110</v>
      </c>
      <c r="D71" s="37">
        <f>#REF!</f>
        <v>12239554</v>
      </c>
      <c r="E71" s="38"/>
      <c r="F71" s="39"/>
      <c r="G71" s="40"/>
      <c r="H71" s="41">
        <v>14074732.289999999</v>
      </c>
      <c r="I71" s="24"/>
      <c r="J71" s="42">
        <f t="shared" si="8"/>
        <v>12239554</v>
      </c>
      <c r="K71" s="49">
        <v>1</v>
      </c>
    </row>
    <row r="72" spans="2:28" hidden="1" x14ac:dyDescent="0.3">
      <c r="B72" s="50" t="s">
        <v>118</v>
      </c>
      <c r="C72" s="36" t="s">
        <v>119</v>
      </c>
      <c r="D72" s="37" t="e">
        <f>#REF!</f>
        <v>#REF!</v>
      </c>
      <c r="E72" s="38"/>
      <c r="F72" s="39"/>
      <c r="G72" s="40"/>
      <c r="H72" s="41">
        <v>606013</v>
      </c>
      <c r="I72" s="24"/>
      <c r="J72" s="42" t="e">
        <f t="shared" si="8"/>
        <v>#REF!</v>
      </c>
      <c r="K72" s="43" t="e">
        <f t="shared" si="9"/>
        <v>#REF!</v>
      </c>
    </row>
    <row r="73" spans="2:28" hidden="1" x14ac:dyDescent="0.3">
      <c r="B73" s="50" t="s">
        <v>120</v>
      </c>
      <c r="C73" s="91" t="s">
        <v>121</v>
      </c>
      <c r="D73" s="37" t="e">
        <f>#REF!</f>
        <v>#REF!</v>
      </c>
      <c r="E73" s="38"/>
      <c r="F73" s="39"/>
      <c r="G73" s="40"/>
      <c r="H73" s="41">
        <v>750775</v>
      </c>
      <c r="I73" s="24"/>
      <c r="J73" s="42" t="e">
        <f t="shared" si="8"/>
        <v>#REF!</v>
      </c>
      <c r="K73" s="49">
        <v>1</v>
      </c>
    </row>
    <row r="74" spans="2:28" hidden="1" x14ac:dyDescent="0.3">
      <c r="B74" s="50" t="s">
        <v>122</v>
      </c>
      <c r="C74" s="36" t="s">
        <v>123</v>
      </c>
      <c r="D74" s="37" t="e">
        <f>#REF!</f>
        <v>#REF!</v>
      </c>
      <c r="E74" s="38"/>
      <c r="F74" s="39"/>
      <c r="G74" s="40"/>
      <c r="H74" s="41">
        <v>201164</v>
      </c>
      <c r="I74" s="24"/>
      <c r="J74" s="42" t="e">
        <f t="shared" si="8"/>
        <v>#REF!</v>
      </c>
      <c r="K74" s="49">
        <v>1</v>
      </c>
    </row>
    <row r="75" spans="2:28" hidden="1" x14ac:dyDescent="0.3">
      <c r="B75" s="50" t="s">
        <v>124</v>
      </c>
      <c r="C75" s="36" t="s">
        <v>114</v>
      </c>
      <c r="D75" s="37">
        <f>#REF!</f>
        <v>826984</v>
      </c>
      <c r="E75" s="38"/>
      <c r="F75" s="39"/>
      <c r="G75" s="40"/>
      <c r="H75" s="41">
        <v>828688.85</v>
      </c>
      <c r="I75" s="24"/>
      <c r="J75" s="42">
        <f t="shared" si="8"/>
        <v>826984</v>
      </c>
      <c r="K75" s="43" t="e">
        <f t="shared" si="9"/>
        <v>#DIV/0!</v>
      </c>
    </row>
    <row r="76" spans="2:28" hidden="1" x14ac:dyDescent="0.3">
      <c r="B76" s="50" t="s">
        <v>125</v>
      </c>
      <c r="C76" s="36" t="s">
        <v>126</v>
      </c>
      <c r="D76" s="37">
        <f>#REF!</f>
        <v>13000000</v>
      </c>
      <c r="E76" s="38"/>
      <c r="F76" s="39"/>
      <c r="G76" s="40"/>
      <c r="H76" s="41">
        <v>18000000</v>
      </c>
      <c r="I76" s="24"/>
      <c r="J76" s="42">
        <f t="shared" si="8"/>
        <v>13000000</v>
      </c>
      <c r="K76" s="49">
        <v>1</v>
      </c>
    </row>
    <row r="77" spans="2:28" ht="41.25" x14ac:dyDescent="0.3">
      <c r="B77" s="27">
        <v>5.2</v>
      </c>
      <c r="C77" s="92" t="s">
        <v>127</v>
      </c>
      <c r="D77" s="29"/>
      <c r="E77" s="30">
        <v>0</v>
      </c>
      <c r="F77" s="21"/>
      <c r="G77" s="40">
        <v>0</v>
      </c>
      <c r="H77" s="41">
        <v>0</v>
      </c>
      <c r="I77" s="24"/>
      <c r="J77" s="42">
        <v>0</v>
      </c>
      <c r="K77" s="49">
        <v>0</v>
      </c>
    </row>
    <row r="78" spans="2:28" x14ac:dyDescent="0.3">
      <c r="B78" s="57">
        <v>6</v>
      </c>
      <c r="C78" s="58" t="s">
        <v>128</v>
      </c>
      <c r="D78" s="59"/>
      <c r="E78" s="60">
        <f>ROUND(E80+E84+E89+E90,0)</f>
        <v>172662874</v>
      </c>
      <c r="F78" s="21"/>
      <c r="G78" s="61" t="e">
        <f>+G79+G80+G84+G89+G90</f>
        <v>#REF!</v>
      </c>
      <c r="H78" s="62" t="e">
        <f>+H79+H80+H84+H89+H90</f>
        <v>#REF!</v>
      </c>
      <c r="I78" s="24"/>
      <c r="J78" s="25" t="e">
        <f>E78-G78</f>
        <v>#REF!</v>
      </c>
      <c r="K78" s="26" t="e">
        <f t="shared" si="9"/>
        <v>#REF!</v>
      </c>
    </row>
    <row r="79" spans="2:28" s="90" customFormat="1" hidden="1" x14ac:dyDescent="0.3">
      <c r="B79" s="93"/>
      <c r="C79" s="94"/>
      <c r="D79" s="95"/>
      <c r="E79" s="87"/>
      <c r="F79" s="21"/>
      <c r="G79" s="88"/>
      <c r="H79" s="89"/>
      <c r="I79" s="55"/>
      <c r="J79" s="42"/>
      <c r="K79" s="49"/>
      <c r="M79" s="169"/>
      <c r="N79" s="170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</row>
    <row r="80" spans="2:28" x14ac:dyDescent="0.3">
      <c r="B80" s="27">
        <v>6.1</v>
      </c>
      <c r="C80" s="28" t="s">
        <v>129</v>
      </c>
      <c r="D80" s="29"/>
      <c r="E80" s="30">
        <f>ROUND(D81+D82+D83,0)</f>
        <v>112075047</v>
      </c>
      <c r="F80" s="21"/>
      <c r="G80" s="46">
        <f>+G81+G82+G83</f>
        <v>0</v>
      </c>
      <c r="H80" s="47">
        <f>+H81+H82+H83</f>
        <v>68010800.230000004</v>
      </c>
      <c r="I80" s="24"/>
      <c r="J80" s="33">
        <f>E80-G80</f>
        <v>112075047</v>
      </c>
      <c r="K80" s="48" t="e">
        <f t="shared" si="9"/>
        <v>#DIV/0!</v>
      </c>
    </row>
    <row r="81" spans="2:11" x14ac:dyDescent="0.3">
      <c r="B81" s="50" t="s">
        <v>130</v>
      </c>
      <c r="C81" s="36" t="s">
        <v>131</v>
      </c>
      <c r="D81" s="52">
        <f>#REF!</f>
        <v>19745954</v>
      </c>
      <c r="E81" s="53"/>
      <c r="F81" s="39"/>
      <c r="G81" s="67"/>
      <c r="H81" s="68">
        <v>17368844.530000001</v>
      </c>
      <c r="I81" s="24"/>
      <c r="J81" s="42">
        <f t="shared" si="8"/>
        <v>19745954</v>
      </c>
      <c r="K81" s="49" t="e">
        <f t="shared" si="9"/>
        <v>#DIV/0!</v>
      </c>
    </row>
    <row r="82" spans="2:11" x14ac:dyDescent="0.3">
      <c r="B82" s="50" t="s">
        <v>132</v>
      </c>
      <c r="C82" s="36" t="s">
        <v>133</v>
      </c>
      <c r="D82" s="52">
        <f>#REF!</f>
        <v>25922371</v>
      </c>
      <c r="E82" s="53"/>
      <c r="F82" s="39"/>
      <c r="G82" s="67"/>
      <c r="H82" s="68">
        <v>29089914</v>
      </c>
      <c r="I82" s="24"/>
      <c r="J82" s="42">
        <f t="shared" si="8"/>
        <v>25922371</v>
      </c>
      <c r="K82" s="49" t="e">
        <f t="shared" si="9"/>
        <v>#DIV/0!</v>
      </c>
    </row>
    <row r="83" spans="2:11" x14ac:dyDescent="0.3">
      <c r="B83" s="50" t="s">
        <v>134</v>
      </c>
      <c r="C83" s="36" t="s">
        <v>135</v>
      </c>
      <c r="D83" s="52">
        <f>#REF!</f>
        <v>66406722</v>
      </c>
      <c r="E83" s="53"/>
      <c r="F83" s="39"/>
      <c r="G83" s="67"/>
      <c r="H83" s="68">
        <v>21552041.700000003</v>
      </c>
      <c r="I83" s="24"/>
      <c r="J83" s="42">
        <f t="shared" si="8"/>
        <v>66406722</v>
      </c>
      <c r="K83" s="49" t="e">
        <f t="shared" si="9"/>
        <v>#DIV/0!</v>
      </c>
    </row>
    <row r="84" spans="2:11" x14ac:dyDescent="0.3">
      <c r="B84" s="27">
        <v>6.2</v>
      </c>
      <c r="C84" s="28" t="s">
        <v>136</v>
      </c>
      <c r="D84" s="29"/>
      <c r="E84" s="30">
        <f>ROUND(#REF!,0)</f>
        <v>9640402</v>
      </c>
      <c r="F84" s="21"/>
      <c r="G84" s="46">
        <f>+G86+G85+G87+G88</f>
        <v>0</v>
      </c>
      <c r="H84" s="47">
        <f>+H86+H85+H87+H88+H89</f>
        <v>58760444.499999993</v>
      </c>
      <c r="I84" s="24"/>
      <c r="J84" s="33">
        <f>E84-G84</f>
        <v>9640402</v>
      </c>
      <c r="K84" s="34" t="e">
        <f t="shared" si="9"/>
        <v>#DIV/0!</v>
      </c>
    </row>
    <row r="85" spans="2:11" hidden="1" x14ac:dyDescent="0.3">
      <c r="B85" s="50" t="s">
        <v>137</v>
      </c>
      <c r="C85" s="36" t="s">
        <v>138</v>
      </c>
      <c r="D85" s="52">
        <v>0</v>
      </c>
      <c r="E85" s="53"/>
      <c r="F85" s="39"/>
      <c r="G85" s="67"/>
      <c r="H85" s="68">
        <v>2689197</v>
      </c>
      <c r="I85" s="24"/>
      <c r="J85" s="42">
        <f t="shared" si="8"/>
        <v>0</v>
      </c>
      <c r="K85" s="49">
        <v>1</v>
      </c>
    </row>
    <row r="86" spans="2:11" hidden="1" x14ac:dyDescent="0.3">
      <c r="B86" s="50" t="s">
        <v>139</v>
      </c>
      <c r="C86" s="36" t="s">
        <v>140</v>
      </c>
      <c r="D86" s="52">
        <f>#REF!</f>
        <v>0</v>
      </c>
      <c r="E86" s="53"/>
      <c r="F86" s="39"/>
      <c r="G86" s="67"/>
      <c r="H86" s="68">
        <v>1602446.9499999997</v>
      </c>
      <c r="I86" s="24"/>
      <c r="J86" s="42">
        <f t="shared" si="8"/>
        <v>0</v>
      </c>
      <c r="K86" s="43" t="e">
        <f t="shared" si="9"/>
        <v>#DIV/0!</v>
      </c>
    </row>
    <row r="87" spans="2:11" hidden="1" x14ac:dyDescent="0.3">
      <c r="B87" s="50" t="s">
        <v>141</v>
      </c>
      <c r="C87" s="36" t="s">
        <v>142</v>
      </c>
      <c r="D87" s="52">
        <f>#REF!</f>
        <v>0</v>
      </c>
      <c r="E87" s="53"/>
      <c r="F87" s="39"/>
      <c r="G87" s="67"/>
      <c r="H87" s="68">
        <v>8539427.9499999993</v>
      </c>
      <c r="I87" s="24"/>
      <c r="J87" s="42">
        <f t="shared" si="8"/>
        <v>0</v>
      </c>
      <c r="K87" s="43" t="e">
        <f t="shared" si="9"/>
        <v>#DIV/0!</v>
      </c>
    </row>
    <row r="88" spans="2:11" hidden="1" x14ac:dyDescent="0.3">
      <c r="B88" s="50" t="s">
        <v>143</v>
      </c>
      <c r="C88" s="36" t="s">
        <v>144</v>
      </c>
      <c r="D88" s="52">
        <f>#REF!</f>
        <v>0</v>
      </c>
      <c r="E88" s="53"/>
      <c r="F88" s="39"/>
      <c r="G88" s="67"/>
      <c r="H88" s="68">
        <v>1819048</v>
      </c>
      <c r="I88" s="24"/>
      <c r="J88" s="42">
        <f t="shared" si="8"/>
        <v>0</v>
      </c>
      <c r="K88" s="49">
        <v>1</v>
      </c>
    </row>
    <row r="89" spans="2:11" x14ac:dyDescent="0.3">
      <c r="B89" s="27">
        <v>6.3</v>
      </c>
      <c r="C89" s="28" t="s">
        <v>145</v>
      </c>
      <c r="D89" s="29"/>
      <c r="E89" s="30">
        <f>ROUND(#REF!,0)</f>
        <v>50947425</v>
      </c>
      <c r="F89" s="21"/>
      <c r="G89" s="31"/>
      <c r="H89" s="32">
        <v>44110324.599999994</v>
      </c>
      <c r="I89" s="24"/>
      <c r="J89" s="42">
        <f>E89-G89</f>
        <v>50947425</v>
      </c>
      <c r="K89" s="49" t="e">
        <f t="shared" si="9"/>
        <v>#DIV/0!</v>
      </c>
    </row>
    <row r="90" spans="2:11" ht="41.25" x14ac:dyDescent="0.3">
      <c r="B90" s="96">
        <v>6.4</v>
      </c>
      <c r="C90" s="97" t="s">
        <v>146</v>
      </c>
      <c r="D90" s="29"/>
      <c r="E90" s="30">
        <v>0</v>
      </c>
      <c r="F90" s="21"/>
      <c r="G90" s="98" t="e">
        <f>+#REF!</f>
        <v>#REF!</v>
      </c>
      <c r="H90" s="99" t="e">
        <f>+#REF!</f>
        <v>#REF!</v>
      </c>
      <c r="I90" s="100"/>
      <c r="J90" s="33" t="e">
        <f>E90-G90</f>
        <v>#REF!</v>
      </c>
      <c r="K90" s="48">
        <v>1</v>
      </c>
    </row>
    <row r="91" spans="2:11" x14ac:dyDescent="0.3">
      <c r="B91" s="57">
        <v>7</v>
      </c>
      <c r="C91" s="58" t="s">
        <v>147</v>
      </c>
      <c r="D91" s="59"/>
      <c r="E91" s="60">
        <v>0</v>
      </c>
      <c r="F91" s="21"/>
      <c r="G91" s="61">
        <v>0</v>
      </c>
      <c r="H91" s="62"/>
      <c r="I91" s="24"/>
      <c r="J91" s="25">
        <v>0</v>
      </c>
      <c r="K91" s="26">
        <v>0</v>
      </c>
    </row>
    <row r="92" spans="2:11" ht="48" customHeight="1" x14ac:dyDescent="0.3">
      <c r="B92" s="57">
        <v>8</v>
      </c>
      <c r="C92" s="58" t="s">
        <v>148</v>
      </c>
      <c r="D92" s="59"/>
      <c r="E92" s="60">
        <f>+E93+E104+E113+E116</f>
        <v>26322297620</v>
      </c>
      <c r="F92" s="21"/>
      <c r="G92" s="101">
        <f>+G93+G104</f>
        <v>0</v>
      </c>
      <c r="H92" s="102" t="e">
        <f>+H93+H104</f>
        <v>#REF!</v>
      </c>
      <c r="I92" s="24"/>
      <c r="J92" s="25">
        <f>E92-G92</f>
        <v>26322297620</v>
      </c>
      <c r="K92" s="26" t="e">
        <f>J92/G92</f>
        <v>#DIV/0!</v>
      </c>
    </row>
    <row r="93" spans="2:11" x14ac:dyDescent="0.3">
      <c r="B93" s="27">
        <v>8.1</v>
      </c>
      <c r="C93" s="28" t="s">
        <v>149</v>
      </c>
      <c r="D93" s="29"/>
      <c r="E93" s="30">
        <f>+D94+D95+D96+D97+D98+D99+D100+D101+D102+D103</f>
        <v>11279502048</v>
      </c>
      <c r="F93" s="21"/>
      <c r="G93" s="61">
        <f>+G94+G95+G96+G97+G98+G99+G100+G101+G102+G103</f>
        <v>0</v>
      </c>
      <c r="H93" s="62" t="e">
        <f>+H94+H95+H96+H97+H98+H99+H100+H101+H102+H103+#REF!</f>
        <v>#REF!</v>
      </c>
      <c r="I93" s="24"/>
      <c r="J93" s="25">
        <f>E93-G93</f>
        <v>11279502048</v>
      </c>
      <c r="K93" s="26" t="e">
        <f>J93/G93</f>
        <v>#DIV/0!</v>
      </c>
    </row>
    <row r="94" spans="2:11" x14ac:dyDescent="0.3">
      <c r="B94" s="50" t="s">
        <v>150</v>
      </c>
      <c r="C94" s="86" t="s">
        <v>151</v>
      </c>
      <c r="D94" s="52">
        <f>+#REF!</f>
        <v>7501525234</v>
      </c>
      <c r="E94" s="53"/>
      <c r="F94" s="39"/>
      <c r="G94" s="103"/>
      <c r="H94" s="68">
        <v>6756510409.2099991</v>
      </c>
      <c r="I94" s="55"/>
      <c r="J94" s="42">
        <f t="shared" si="8"/>
        <v>7501525234</v>
      </c>
      <c r="K94" s="49" t="e">
        <f>J94/G94</f>
        <v>#DIV/0!</v>
      </c>
    </row>
    <row r="95" spans="2:11" x14ac:dyDescent="0.3">
      <c r="B95" s="50" t="s">
        <v>152</v>
      </c>
      <c r="C95" s="86" t="s">
        <v>153</v>
      </c>
      <c r="D95" s="52">
        <f>+#REF!</f>
        <v>866350333</v>
      </c>
      <c r="E95" s="53"/>
      <c r="F95" s="39"/>
      <c r="G95" s="103"/>
      <c r="H95" s="68">
        <v>849888914.01999998</v>
      </c>
      <c r="I95" s="55"/>
      <c r="J95" s="42">
        <f t="shared" si="8"/>
        <v>866350333</v>
      </c>
      <c r="K95" s="49" t="e">
        <f t="shared" si="9"/>
        <v>#DIV/0!</v>
      </c>
    </row>
    <row r="96" spans="2:11" x14ac:dyDescent="0.3">
      <c r="B96" s="50" t="s">
        <v>154</v>
      </c>
      <c r="C96" s="86" t="s">
        <v>155</v>
      </c>
      <c r="D96" s="52">
        <f>+#REF!</f>
        <v>316469622</v>
      </c>
      <c r="E96" s="53"/>
      <c r="F96" s="39"/>
      <c r="G96" s="103"/>
      <c r="H96" s="68">
        <v>290131009.67000002</v>
      </c>
      <c r="I96" s="24"/>
      <c r="J96" s="42">
        <f t="shared" si="8"/>
        <v>316469622</v>
      </c>
      <c r="K96" s="49" t="e">
        <f t="shared" si="9"/>
        <v>#DIV/0!</v>
      </c>
    </row>
    <row r="97" spans="2:28" x14ac:dyDescent="0.3">
      <c r="B97" s="50" t="s">
        <v>156</v>
      </c>
      <c r="C97" s="86" t="s">
        <v>157</v>
      </c>
      <c r="D97" s="52">
        <f>+#REF!</f>
        <v>448825716</v>
      </c>
      <c r="E97" s="53"/>
      <c r="F97" s="39"/>
      <c r="G97" s="103"/>
      <c r="H97" s="68">
        <v>462210350.66666669</v>
      </c>
      <c r="I97" s="24"/>
      <c r="J97" s="42">
        <f t="shared" si="8"/>
        <v>448825716</v>
      </c>
      <c r="K97" s="43" t="e">
        <f t="shared" si="9"/>
        <v>#DIV/0!</v>
      </c>
    </row>
    <row r="98" spans="2:28" x14ac:dyDescent="0.3">
      <c r="B98" s="50" t="s">
        <v>158</v>
      </c>
      <c r="C98" s="86" t="s">
        <v>159</v>
      </c>
      <c r="D98" s="52">
        <f>+#REF!</f>
        <v>151994317</v>
      </c>
      <c r="E98" s="53"/>
      <c r="F98" s="39"/>
      <c r="G98" s="103"/>
      <c r="H98" s="68">
        <v>107589179.96000001</v>
      </c>
      <c r="I98" s="24"/>
      <c r="J98" s="42">
        <f t="shared" si="8"/>
        <v>151994317</v>
      </c>
      <c r="K98" s="43" t="e">
        <f t="shared" si="9"/>
        <v>#DIV/0!</v>
      </c>
    </row>
    <row r="99" spans="2:28" x14ac:dyDescent="0.3">
      <c r="B99" s="50" t="s">
        <v>160</v>
      </c>
      <c r="C99" s="86" t="s">
        <v>161</v>
      </c>
      <c r="D99" s="52">
        <f>+#REF!</f>
        <v>355787849</v>
      </c>
      <c r="E99" s="53"/>
      <c r="F99" s="39"/>
      <c r="G99" s="103"/>
      <c r="H99" s="68">
        <v>342875767.88999999</v>
      </c>
      <c r="I99" s="24"/>
      <c r="J99" s="42">
        <f t="shared" si="8"/>
        <v>355787849</v>
      </c>
      <c r="K99" s="49" t="e">
        <f t="shared" si="9"/>
        <v>#DIV/0!</v>
      </c>
    </row>
    <row r="100" spans="2:28" x14ac:dyDescent="0.3">
      <c r="B100" s="50" t="s">
        <v>162</v>
      </c>
      <c r="C100" s="86" t="s">
        <v>163</v>
      </c>
      <c r="D100" s="52">
        <f>+#REF!</f>
        <v>1552690225</v>
      </c>
      <c r="E100" s="53"/>
      <c r="F100" s="39"/>
      <c r="G100" s="103"/>
      <c r="H100" s="68">
        <v>1040769203.98</v>
      </c>
      <c r="I100" s="24"/>
      <c r="J100" s="42">
        <f t="shared" si="8"/>
        <v>1552690225</v>
      </c>
      <c r="K100" s="49" t="e">
        <f t="shared" si="9"/>
        <v>#DIV/0!</v>
      </c>
    </row>
    <row r="101" spans="2:28" x14ac:dyDescent="0.3">
      <c r="B101" s="50" t="s">
        <v>164</v>
      </c>
      <c r="C101" s="86" t="s">
        <v>165</v>
      </c>
      <c r="D101" s="52">
        <f>+#REF!</f>
        <v>10940091</v>
      </c>
      <c r="E101" s="53"/>
      <c r="F101" s="39"/>
      <c r="G101" s="103"/>
      <c r="H101" s="68">
        <v>10290515.666666666</v>
      </c>
      <c r="I101" s="24"/>
      <c r="J101" s="42">
        <f t="shared" si="8"/>
        <v>10940091</v>
      </c>
      <c r="K101" s="49" t="e">
        <f t="shared" si="9"/>
        <v>#DIV/0!</v>
      </c>
    </row>
    <row r="102" spans="2:28" ht="18" customHeight="1" x14ac:dyDescent="0.3">
      <c r="B102" s="50" t="s">
        <v>166</v>
      </c>
      <c r="C102" s="86" t="s">
        <v>167</v>
      </c>
      <c r="D102" s="52">
        <f>+#REF!</f>
        <v>39427588</v>
      </c>
      <c r="E102" s="53"/>
      <c r="F102" s="39"/>
      <c r="G102" s="103"/>
      <c r="H102" s="68">
        <v>24033552</v>
      </c>
      <c r="I102" s="55"/>
      <c r="J102" s="42">
        <f t="shared" si="8"/>
        <v>39427588</v>
      </c>
      <c r="K102" s="49" t="e">
        <f t="shared" si="9"/>
        <v>#DIV/0!</v>
      </c>
      <c r="L102" s="90"/>
    </row>
    <row r="103" spans="2:28" x14ac:dyDescent="0.3">
      <c r="B103" s="50" t="s">
        <v>168</v>
      </c>
      <c r="C103" s="86" t="s">
        <v>169</v>
      </c>
      <c r="D103" s="52">
        <f>+#REF!</f>
        <v>35491073</v>
      </c>
      <c r="E103" s="53"/>
      <c r="F103" s="39"/>
      <c r="G103" s="103"/>
      <c r="H103" s="68">
        <v>37062951</v>
      </c>
      <c r="I103" s="24"/>
      <c r="J103" s="42">
        <f t="shared" si="8"/>
        <v>35491073</v>
      </c>
      <c r="K103" s="49" t="e">
        <f t="shared" si="9"/>
        <v>#DIV/0!</v>
      </c>
    </row>
    <row r="104" spans="2:28" ht="18.75" customHeight="1" x14ac:dyDescent="0.3">
      <c r="B104" s="27">
        <v>8.1999999999999993</v>
      </c>
      <c r="C104" s="28" t="s">
        <v>16</v>
      </c>
      <c r="D104" s="29"/>
      <c r="E104" s="30">
        <f>+D105+D106+D107+D108+D109+D110+D111+D112</f>
        <v>12675278842</v>
      </c>
      <c r="F104" s="21"/>
      <c r="G104" s="61">
        <f>+G105+G106+G107+G108+G109+G110+G111+G112</f>
        <v>0</v>
      </c>
      <c r="H104" s="62">
        <f>+H105+H106+H107+H108+H109+H110+H111+H112</f>
        <v>0</v>
      </c>
      <c r="I104" s="24"/>
      <c r="J104" s="25">
        <f>E104-G104</f>
        <v>12675278842</v>
      </c>
      <c r="K104" s="26" t="e">
        <f t="shared" si="9"/>
        <v>#DIV/0!</v>
      </c>
    </row>
    <row r="105" spans="2:28" ht="33" x14ac:dyDescent="0.3">
      <c r="B105" s="50" t="s">
        <v>170</v>
      </c>
      <c r="C105" s="36" t="s">
        <v>171</v>
      </c>
      <c r="D105" s="52">
        <v>6913216881</v>
      </c>
      <c r="E105" s="53"/>
      <c r="F105" s="39"/>
      <c r="G105" s="67"/>
      <c r="H105" s="32"/>
      <c r="I105" s="24"/>
      <c r="J105" s="42">
        <f t="shared" si="8"/>
        <v>6913216881</v>
      </c>
      <c r="K105" s="49" t="e">
        <f t="shared" si="9"/>
        <v>#DIV/0!</v>
      </c>
    </row>
    <row r="106" spans="2:28" s="90" customFormat="1" x14ac:dyDescent="0.3">
      <c r="B106" s="50" t="s">
        <v>172</v>
      </c>
      <c r="C106" s="86" t="s">
        <v>173</v>
      </c>
      <c r="D106" s="52">
        <v>2357697011</v>
      </c>
      <c r="E106" s="53"/>
      <c r="F106" s="39"/>
      <c r="G106" s="103"/>
      <c r="H106" s="32"/>
      <c r="I106" s="55"/>
      <c r="J106" s="42">
        <f t="shared" si="8"/>
        <v>2357697011</v>
      </c>
      <c r="K106" s="49" t="e">
        <f t="shared" si="9"/>
        <v>#DIV/0!</v>
      </c>
      <c r="M106" s="169"/>
      <c r="N106" s="170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</row>
    <row r="107" spans="2:28" s="90" customFormat="1" x14ac:dyDescent="0.3">
      <c r="B107" s="50" t="s">
        <v>174</v>
      </c>
      <c r="C107" s="86" t="s">
        <v>175</v>
      </c>
      <c r="D107" s="52">
        <v>1085737869</v>
      </c>
      <c r="E107" s="53"/>
      <c r="F107" s="39"/>
      <c r="G107" s="103"/>
      <c r="H107" s="32"/>
      <c r="I107" s="55"/>
      <c r="J107" s="42">
        <f t="shared" si="8"/>
        <v>1085737869</v>
      </c>
      <c r="K107" s="49" t="e">
        <f t="shared" si="9"/>
        <v>#DIV/0!</v>
      </c>
      <c r="M107" s="169"/>
      <c r="N107" s="170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</row>
    <row r="108" spans="2:28" s="90" customFormat="1" ht="35.25" customHeight="1" x14ac:dyDescent="0.3">
      <c r="B108" s="50" t="s">
        <v>176</v>
      </c>
      <c r="C108" s="86" t="s">
        <v>177</v>
      </c>
      <c r="D108" s="52">
        <v>1065119904</v>
      </c>
      <c r="E108" s="53"/>
      <c r="F108" s="39"/>
      <c r="G108" s="103"/>
      <c r="H108" s="32"/>
      <c r="I108" s="55"/>
      <c r="J108" s="42">
        <f t="shared" si="8"/>
        <v>1065119904</v>
      </c>
      <c r="K108" s="49" t="e">
        <f t="shared" si="9"/>
        <v>#DIV/0!</v>
      </c>
      <c r="M108" s="169"/>
      <c r="N108" s="170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</row>
    <row r="109" spans="2:28" s="90" customFormat="1" x14ac:dyDescent="0.3">
      <c r="B109" s="50" t="s">
        <v>178</v>
      </c>
      <c r="C109" s="86" t="s">
        <v>179</v>
      </c>
      <c r="D109" s="52">
        <v>359196638</v>
      </c>
      <c r="E109" s="53"/>
      <c r="F109" s="39"/>
      <c r="G109" s="103"/>
      <c r="H109" s="32"/>
      <c r="I109" s="55"/>
      <c r="J109" s="42">
        <f t="shared" si="8"/>
        <v>359196638</v>
      </c>
      <c r="K109" s="49" t="e">
        <f t="shared" si="9"/>
        <v>#DIV/0!</v>
      </c>
      <c r="M109" s="169"/>
      <c r="N109" s="170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</row>
    <row r="110" spans="2:28" s="90" customFormat="1" ht="33" x14ac:dyDescent="0.3">
      <c r="B110" s="50" t="s">
        <v>180</v>
      </c>
      <c r="C110" s="86" t="s">
        <v>181</v>
      </c>
      <c r="D110" s="52">
        <v>98626953</v>
      </c>
      <c r="E110" s="53"/>
      <c r="F110" s="39"/>
      <c r="G110" s="103"/>
      <c r="H110" s="32"/>
      <c r="I110" s="55"/>
      <c r="J110" s="42">
        <f t="shared" si="8"/>
        <v>98626953</v>
      </c>
      <c r="K110" s="49" t="e">
        <f t="shared" si="9"/>
        <v>#DIV/0!</v>
      </c>
      <c r="M110" s="169"/>
      <c r="N110" s="170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</row>
    <row r="111" spans="2:28" s="90" customFormat="1" ht="33" x14ac:dyDescent="0.3">
      <c r="B111" s="50" t="s">
        <v>182</v>
      </c>
      <c r="C111" s="86" t="s">
        <v>183</v>
      </c>
      <c r="D111" s="52">
        <v>144349523</v>
      </c>
      <c r="E111" s="53"/>
      <c r="F111" s="39"/>
      <c r="G111" s="103"/>
      <c r="H111" s="32"/>
      <c r="I111" s="55"/>
      <c r="J111" s="42">
        <f t="shared" si="8"/>
        <v>144349523</v>
      </c>
      <c r="K111" s="43" t="e">
        <f t="shared" si="9"/>
        <v>#DIV/0!</v>
      </c>
      <c r="M111" s="169"/>
      <c r="N111" s="170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</row>
    <row r="112" spans="2:28" s="90" customFormat="1" ht="33.75" customHeight="1" x14ac:dyDescent="0.3">
      <c r="B112" s="50" t="s">
        <v>184</v>
      </c>
      <c r="C112" s="86" t="s">
        <v>185</v>
      </c>
      <c r="D112" s="52">
        <v>651334063</v>
      </c>
      <c r="E112" s="53"/>
      <c r="F112" s="39"/>
      <c r="G112" s="103"/>
      <c r="H112" s="32"/>
      <c r="I112" s="55"/>
      <c r="J112" s="42">
        <f t="shared" si="8"/>
        <v>651334063</v>
      </c>
      <c r="K112" s="49" t="e">
        <f t="shared" si="9"/>
        <v>#DIV/0!</v>
      </c>
      <c r="M112" s="169"/>
      <c r="N112" s="170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</row>
    <row r="113" spans="2:28" x14ac:dyDescent="0.3">
      <c r="B113" s="27">
        <v>8.3000000000000007</v>
      </c>
      <c r="C113" s="28" t="s">
        <v>19</v>
      </c>
      <c r="D113" s="189"/>
      <c r="E113" s="190">
        <f>+D114+D115</f>
        <v>2149769107</v>
      </c>
      <c r="F113" s="21"/>
      <c r="G113" s="61"/>
      <c r="H113" s="62"/>
      <c r="I113" s="24"/>
      <c r="J113" s="25">
        <f>E113-G113</f>
        <v>2149769107</v>
      </c>
      <c r="K113" s="26" t="e">
        <f t="shared" si="9"/>
        <v>#DIV/0!</v>
      </c>
    </row>
    <row r="114" spans="2:28" x14ac:dyDescent="0.3">
      <c r="B114" s="50" t="s">
        <v>186</v>
      </c>
      <c r="C114" s="94" t="s">
        <v>187</v>
      </c>
      <c r="D114" s="52">
        <v>1531543980</v>
      </c>
      <c r="E114" s="53"/>
      <c r="F114" s="39"/>
      <c r="G114" s="104"/>
      <c r="H114" s="105"/>
      <c r="I114" s="55"/>
      <c r="J114" s="33"/>
      <c r="K114" s="48"/>
    </row>
    <row r="115" spans="2:28" s="90" customFormat="1" x14ac:dyDescent="0.3">
      <c r="B115" s="50" t="s">
        <v>188</v>
      </c>
      <c r="C115" s="94" t="s">
        <v>189</v>
      </c>
      <c r="D115" s="52">
        <v>618225127</v>
      </c>
      <c r="E115" s="53"/>
      <c r="F115" s="39"/>
      <c r="G115" s="104"/>
      <c r="H115" s="105"/>
      <c r="I115" s="55"/>
      <c r="J115" s="33"/>
      <c r="K115" s="48"/>
      <c r="M115" s="90">
        <v>1122296449</v>
      </c>
      <c r="N115" s="170">
        <v>618225127</v>
      </c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</row>
    <row r="116" spans="2:28" s="90" customFormat="1" x14ac:dyDescent="0.3">
      <c r="B116" s="27">
        <v>8.4</v>
      </c>
      <c r="C116" s="28" t="s">
        <v>190</v>
      </c>
      <c r="D116" s="29"/>
      <c r="E116" s="30">
        <f>+#REF!</f>
        <v>217747623</v>
      </c>
      <c r="F116" s="39"/>
      <c r="G116" s="104"/>
      <c r="H116" s="105"/>
      <c r="I116" s="55"/>
      <c r="J116" s="33"/>
      <c r="K116" s="48"/>
      <c r="M116" s="169"/>
      <c r="N116" s="188">
        <f>+M115-N115</f>
        <v>504071322</v>
      </c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</row>
    <row r="117" spans="2:28" s="90" customFormat="1" x14ac:dyDescent="0.3">
      <c r="B117" s="35" t="s">
        <v>191</v>
      </c>
      <c r="C117" s="106" t="s">
        <v>192</v>
      </c>
      <c r="D117" s="107">
        <f>+#REF!</f>
        <v>2806314</v>
      </c>
      <c r="E117" s="87"/>
      <c r="F117" s="39"/>
      <c r="G117" s="104"/>
      <c r="H117" s="105"/>
      <c r="I117" s="55"/>
      <c r="J117" s="33"/>
      <c r="K117" s="48"/>
      <c r="M117" s="169"/>
      <c r="N117" s="170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</row>
    <row r="118" spans="2:28" s="90" customFormat="1" x14ac:dyDescent="0.3">
      <c r="B118" s="35" t="s">
        <v>193</v>
      </c>
      <c r="C118" s="106" t="s">
        <v>194</v>
      </c>
      <c r="D118" s="107">
        <f>+#REF!</f>
        <v>130712646</v>
      </c>
      <c r="E118" s="87"/>
      <c r="F118" s="39"/>
      <c r="G118" s="104"/>
      <c r="H118" s="105"/>
      <c r="I118" s="55"/>
      <c r="J118" s="33"/>
      <c r="K118" s="48"/>
      <c r="M118" s="169"/>
      <c r="N118" s="170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</row>
    <row r="119" spans="2:28" s="90" customFormat="1" x14ac:dyDescent="0.3">
      <c r="B119" s="35" t="s">
        <v>195</v>
      </c>
      <c r="C119" s="106" t="s">
        <v>196</v>
      </c>
      <c r="D119" s="107">
        <f>+#REF!</f>
        <v>46885246</v>
      </c>
      <c r="E119" s="87"/>
      <c r="F119" s="39"/>
      <c r="G119" s="104"/>
      <c r="H119" s="105"/>
      <c r="I119" s="55"/>
      <c r="J119" s="33"/>
      <c r="K119" s="48"/>
      <c r="M119" s="169"/>
      <c r="N119" s="170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</row>
    <row r="120" spans="2:28" s="90" customFormat="1" x14ac:dyDescent="0.3">
      <c r="B120" s="35" t="s">
        <v>197</v>
      </c>
      <c r="C120" s="106" t="s">
        <v>198</v>
      </c>
      <c r="D120" s="107">
        <f>+#REF!</f>
        <v>12352344</v>
      </c>
      <c r="E120" s="87"/>
      <c r="F120" s="39"/>
      <c r="G120" s="104"/>
      <c r="H120" s="105"/>
      <c r="I120" s="55"/>
      <c r="J120" s="33"/>
      <c r="K120" s="48"/>
      <c r="M120" s="169"/>
      <c r="N120" s="170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</row>
    <row r="121" spans="2:28" s="90" customFormat="1" x14ac:dyDescent="0.3">
      <c r="B121" s="35" t="s">
        <v>199</v>
      </c>
      <c r="C121" s="106" t="s">
        <v>200</v>
      </c>
      <c r="D121" s="107">
        <f>+#REF!</f>
        <v>1260782</v>
      </c>
      <c r="E121" s="87"/>
      <c r="F121" s="39"/>
      <c r="G121" s="104"/>
      <c r="H121" s="105"/>
      <c r="I121" s="55"/>
      <c r="J121" s="33"/>
      <c r="K121" s="48"/>
      <c r="M121" s="169"/>
      <c r="N121" s="170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</row>
    <row r="122" spans="2:28" s="90" customFormat="1" x14ac:dyDescent="0.3">
      <c r="B122" s="35" t="s">
        <v>201</v>
      </c>
      <c r="C122" s="106" t="s">
        <v>202</v>
      </c>
      <c r="D122" s="107">
        <f>+#REF!</f>
        <v>23730291</v>
      </c>
      <c r="E122" s="87"/>
      <c r="F122" s="39"/>
      <c r="G122" s="104"/>
      <c r="H122" s="105"/>
      <c r="I122" s="55"/>
      <c r="J122" s="33"/>
      <c r="K122" s="48"/>
      <c r="M122" s="169"/>
      <c r="N122" s="170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</row>
    <row r="123" spans="2:28" s="90" customFormat="1" x14ac:dyDescent="0.3">
      <c r="B123" s="27">
        <v>8.5</v>
      </c>
      <c r="C123" s="28" t="s">
        <v>203</v>
      </c>
      <c r="D123" s="29"/>
      <c r="E123" s="30">
        <f>+#REF!</f>
        <v>0</v>
      </c>
      <c r="F123" s="39"/>
      <c r="G123" s="104"/>
      <c r="H123" s="105"/>
      <c r="I123" s="55"/>
      <c r="J123" s="33"/>
      <c r="K123" s="48"/>
      <c r="M123" s="169"/>
      <c r="N123" s="170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</row>
    <row r="124" spans="2:28" s="90" customFormat="1" x14ac:dyDescent="0.3">
      <c r="B124" s="57">
        <v>9</v>
      </c>
      <c r="C124" s="58" t="s">
        <v>204</v>
      </c>
      <c r="D124" s="59"/>
      <c r="E124" s="60">
        <f>#REF!</f>
        <v>0</v>
      </c>
      <c r="F124" s="21"/>
      <c r="G124" s="61">
        <v>0</v>
      </c>
      <c r="H124" s="62"/>
      <c r="I124" s="24"/>
      <c r="J124" s="25">
        <f>E124-G124</f>
        <v>0</v>
      </c>
      <c r="K124" s="26">
        <v>0</v>
      </c>
      <c r="M124" s="169"/>
      <c r="N124" s="170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</row>
    <row r="125" spans="2:28" s="90" customFormat="1" x14ac:dyDescent="0.3">
      <c r="B125" s="57">
        <v>10</v>
      </c>
      <c r="C125" s="58" t="s">
        <v>205</v>
      </c>
      <c r="D125" s="59"/>
      <c r="E125" s="60">
        <f>+D126+D127</f>
        <v>74090878</v>
      </c>
      <c r="F125" s="21"/>
      <c r="G125" s="61">
        <f>+G126+G127</f>
        <v>0</v>
      </c>
      <c r="H125" s="62">
        <f>+H126+H127</f>
        <v>0</v>
      </c>
      <c r="I125" s="24">
        <f>+I126+I127</f>
        <v>0</v>
      </c>
      <c r="J125" s="108">
        <f>+J126+J127</f>
        <v>74090878</v>
      </c>
      <c r="K125" s="109" t="e">
        <f>J125/G125</f>
        <v>#DIV/0!</v>
      </c>
      <c r="M125" s="169"/>
      <c r="N125" s="170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</row>
    <row r="126" spans="2:28" x14ac:dyDescent="0.3">
      <c r="B126" s="35">
        <v>10.1</v>
      </c>
      <c r="C126" s="86" t="s">
        <v>206</v>
      </c>
      <c r="D126" s="110">
        <f>ROUND(#REF!,0)</f>
        <v>74090878</v>
      </c>
      <c r="E126" s="111"/>
      <c r="F126" s="112"/>
      <c r="G126" s="103"/>
      <c r="H126" s="113"/>
      <c r="I126" s="55"/>
      <c r="J126" s="42">
        <f>D126-G126</f>
        <v>74090878</v>
      </c>
      <c r="K126" s="49" t="e">
        <f t="shared" si="9"/>
        <v>#DIV/0!</v>
      </c>
      <c r="L126" s="90"/>
    </row>
    <row r="127" spans="2:28" ht="17.25" thickBot="1" x14ac:dyDescent="0.35">
      <c r="B127" s="114">
        <v>10.199999999999999</v>
      </c>
      <c r="C127" s="115" t="s">
        <v>207</v>
      </c>
      <c r="D127" s="116">
        <f>+#REF!</f>
        <v>0</v>
      </c>
      <c r="E127" s="117"/>
      <c r="F127" s="118"/>
      <c r="G127" s="119"/>
      <c r="H127" s="113"/>
      <c r="I127" s="55"/>
      <c r="J127" s="120">
        <f t="shared" si="8"/>
        <v>0</v>
      </c>
      <c r="K127" s="49" t="e">
        <f t="shared" si="9"/>
        <v>#DIV/0!</v>
      </c>
      <c r="L127" s="90"/>
    </row>
  </sheetData>
  <mergeCells count="4">
    <mergeCell ref="B1:E4"/>
    <mergeCell ref="G2:G4"/>
    <mergeCell ref="H2:H4"/>
    <mergeCell ref="J2:K3"/>
  </mergeCells>
  <pageMargins left="0.70866141732283472" right="0.70866141732283472" top="0.74803149606299213" bottom="0.74803149606299213" header="0.31496062992125984" footer="0.31496062992125984"/>
  <pageSetup scale="64" fitToHeight="2" orientation="portrait" r:id="rId1"/>
  <rowBreaks count="1" manualBreakCount="1">
    <brk id="112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showGridLines="0" topLeftCell="A27" workbookViewId="0">
      <selection activeCell="B44" sqref="B44"/>
    </sheetView>
  </sheetViews>
  <sheetFormatPr baseColWidth="10" defaultRowHeight="16.5" x14ac:dyDescent="0.3"/>
  <cols>
    <col min="1" max="1" width="3.5703125" style="124" customWidth="1"/>
    <col min="2" max="2" width="11.42578125" style="124"/>
    <col min="3" max="3" width="54" style="124" customWidth="1"/>
    <col min="4" max="4" width="19.42578125" style="124" bestFit="1" customWidth="1"/>
    <col min="5" max="8" width="19.7109375" style="124" bestFit="1" customWidth="1"/>
    <col min="9" max="9" width="17.140625" style="124" bestFit="1" customWidth="1"/>
    <col min="10" max="10" width="11.42578125" style="124"/>
    <col min="11" max="11" width="17.42578125" style="124" bestFit="1" customWidth="1"/>
    <col min="12" max="16384" width="11.42578125" style="124"/>
  </cols>
  <sheetData>
    <row r="1" spans="2:11" s="151" customFormat="1" x14ac:dyDescent="0.3">
      <c r="B1" s="206" t="s">
        <v>208</v>
      </c>
      <c r="C1" s="207"/>
      <c r="D1" s="207"/>
      <c r="E1" s="207"/>
      <c r="F1" s="207"/>
      <c r="G1" s="207"/>
      <c r="H1" s="207"/>
      <c r="I1" s="208"/>
    </row>
    <row r="2" spans="2:11" s="151" customFormat="1" x14ac:dyDescent="0.3">
      <c r="B2" s="209" t="s">
        <v>256</v>
      </c>
      <c r="C2" s="210"/>
      <c r="D2" s="210"/>
      <c r="E2" s="210"/>
      <c r="F2" s="210"/>
      <c r="G2" s="210"/>
      <c r="H2" s="210"/>
      <c r="I2" s="211"/>
    </row>
    <row r="3" spans="2:11" s="151" customFormat="1" x14ac:dyDescent="0.3">
      <c r="B3" s="209" t="s">
        <v>210</v>
      </c>
      <c r="C3" s="210"/>
      <c r="D3" s="210"/>
      <c r="E3" s="210"/>
      <c r="F3" s="210"/>
      <c r="G3" s="210"/>
      <c r="H3" s="210"/>
      <c r="I3" s="211"/>
    </row>
    <row r="4" spans="2:11" s="151" customFormat="1" x14ac:dyDescent="0.3">
      <c r="B4" s="209" t="s">
        <v>211</v>
      </c>
      <c r="C4" s="210"/>
      <c r="D4" s="210"/>
      <c r="E4" s="210"/>
      <c r="F4" s="210"/>
      <c r="G4" s="210"/>
      <c r="H4" s="210"/>
      <c r="I4" s="211"/>
    </row>
    <row r="5" spans="2:11" ht="17.25" thickBot="1" x14ac:dyDescent="0.35">
      <c r="B5" s="171"/>
      <c r="C5" s="152"/>
      <c r="D5" s="212" t="s">
        <v>212</v>
      </c>
      <c r="E5" s="213"/>
      <c r="F5" s="213"/>
      <c r="G5" s="213"/>
      <c r="H5" s="213"/>
      <c r="I5" s="214"/>
    </row>
    <row r="6" spans="2:11" ht="35.25" customHeight="1" x14ac:dyDescent="0.3">
      <c r="B6" s="172"/>
      <c r="C6" s="153"/>
      <c r="D6" s="154" t="s">
        <v>214</v>
      </c>
      <c r="E6" s="155">
        <v>2020</v>
      </c>
      <c r="F6" s="155">
        <v>2021</v>
      </c>
      <c r="G6" s="155">
        <v>2022</v>
      </c>
      <c r="H6" s="155">
        <v>2023</v>
      </c>
      <c r="I6" s="173">
        <v>2024</v>
      </c>
    </row>
    <row r="7" spans="2:11" x14ac:dyDescent="0.3">
      <c r="B7" s="174" t="s">
        <v>215</v>
      </c>
      <c r="C7" s="132"/>
      <c r="D7" s="133">
        <f t="shared" ref="D7" si="0">+D9+D10+D11+D12+D13+D14+D15+D16+D17+D18+D19+D20</f>
        <v>15008370968</v>
      </c>
      <c r="E7" s="133">
        <f>+E9+E10+E11+E12+E13+E14+E15+E16+E17+E18+E19+E20</f>
        <v>15144383113.467617</v>
      </c>
      <c r="F7" s="133">
        <f>+F9+F10+F11+F12+F13+F14+F15+F16+F17+F18+F19+F20</f>
        <v>15560789096.036152</v>
      </c>
      <c r="G7" s="133">
        <f>+G9+G10+G11+G12+G13+G14+G15+G16+G17+G18+G19+G20</f>
        <v>15989687421.719891</v>
      </c>
      <c r="H7" s="133">
        <f>+H9+H10+H11+H12+H13+H14+H15+H16+H17+H18+H19+H20</f>
        <v>16431452667.531961</v>
      </c>
      <c r="I7" s="175">
        <f>+I9+I10+I11+I12+I13+I14+I15+I16+I17+I18+I19+I20</f>
        <v>16886470878.112354</v>
      </c>
    </row>
    <row r="8" spans="2:11" x14ac:dyDescent="0.3">
      <c r="B8" s="176"/>
      <c r="C8" s="135" t="s">
        <v>216</v>
      </c>
      <c r="D8" s="156"/>
      <c r="E8" s="136"/>
      <c r="F8" s="136"/>
      <c r="G8" s="136"/>
      <c r="H8" s="136"/>
      <c r="I8" s="177"/>
    </row>
    <row r="9" spans="2:11" x14ac:dyDescent="0.3">
      <c r="B9" s="178" t="s">
        <v>217</v>
      </c>
      <c r="C9" s="138" t="s">
        <v>218</v>
      </c>
      <c r="D9" s="141">
        <f>+'7c LDF'!J9</f>
        <v>2324528463</v>
      </c>
      <c r="E9" s="136">
        <f>+D9+(D9*1.36847%)</f>
        <v>2356338937.6576161</v>
      </c>
      <c r="F9" s="136">
        <f>+E9+(E9*1.39049%)</f>
        <v>2389103594.9518514</v>
      </c>
      <c r="G9" s="136">
        <f>+F9+(F9*1.41257%)</f>
        <v>2422851355.6030626</v>
      </c>
      <c r="H9" s="136">
        <f>+G9+(G9*1.43468%)</f>
        <v>2457611519.4316287</v>
      </c>
      <c r="I9" s="177">
        <f>+H9+(H9*1.45682%)</f>
        <v>2493414495.5690126</v>
      </c>
    </row>
    <row r="10" spans="2:11" x14ac:dyDescent="0.3">
      <c r="B10" s="178" t="s">
        <v>219</v>
      </c>
      <c r="C10" s="138" t="s">
        <v>220</v>
      </c>
      <c r="D10" s="141"/>
      <c r="E10" s="136"/>
      <c r="F10" s="136"/>
      <c r="G10" s="136"/>
      <c r="H10" s="136"/>
      <c r="I10" s="177">
        <f t="shared" ref="I10:I17" si="1">+H10+(H10*3%)</f>
        <v>0</v>
      </c>
    </row>
    <row r="11" spans="2:11" x14ac:dyDescent="0.3">
      <c r="B11" s="178" t="s">
        <v>221</v>
      </c>
      <c r="C11" s="138" t="s">
        <v>222</v>
      </c>
      <c r="D11" s="141">
        <f>+'7c LDF'!J11</f>
        <v>110000000</v>
      </c>
      <c r="E11" s="136">
        <f t="shared" ref="E11:H14" si="2">+D11+(D11*3%)</f>
        <v>113300000</v>
      </c>
      <c r="F11" s="136">
        <f t="shared" si="2"/>
        <v>116699000</v>
      </c>
      <c r="G11" s="136">
        <f t="shared" si="2"/>
        <v>120199970</v>
      </c>
      <c r="H11" s="136">
        <f t="shared" si="2"/>
        <v>123805969.09999999</v>
      </c>
      <c r="I11" s="177">
        <f t="shared" si="1"/>
        <v>127520148.17299999</v>
      </c>
    </row>
    <row r="12" spans="2:11" x14ac:dyDescent="0.3">
      <c r="B12" s="178" t="s">
        <v>223</v>
      </c>
      <c r="C12" s="138" t="s">
        <v>224</v>
      </c>
      <c r="D12" s="141">
        <f>+'7c LDF'!J12</f>
        <v>797093011</v>
      </c>
      <c r="E12" s="136">
        <f t="shared" si="2"/>
        <v>821005801.33000004</v>
      </c>
      <c r="F12" s="136">
        <f t="shared" si="2"/>
        <v>845635975.36989999</v>
      </c>
      <c r="G12" s="136">
        <f t="shared" si="2"/>
        <v>871005054.63099694</v>
      </c>
      <c r="H12" s="136">
        <f t="shared" si="2"/>
        <v>897135206.26992691</v>
      </c>
      <c r="I12" s="177">
        <f t="shared" si="1"/>
        <v>924049262.45802474</v>
      </c>
    </row>
    <row r="13" spans="2:11" x14ac:dyDescent="0.3">
      <c r="B13" s="178" t="s">
        <v>225</v>
      </c>
      <c r="C13" s="138" t="s">
        <v>226</v>
      </c>
      <c r="D13" s="141">
        <f>+'7c LDF'!J13</f>
        <v>32746071</v>
      </c>
      <c r="E13" s="136">
        <f t="shared" si="2"/>
        <v>33728453.130000003</v>
      </c>
      <c r="F13" s="136">
        <f t="shared" si="2"/>
        <v>34740306.723900005</v>
      </c>
      <c r="G13" s="136">
        <f t="shared" si="2"/>
        <v>35782515.925617002</v>
      </c>
      <c r="H13" s="136">
        <f t="shared" si="2"/>
        <v>36855991.403385513</v>
      </c>
      <c r="I13" s="177">
        <f t="shared" si="1"/>
        <v>37961671.145487078</v>
      </c>
    </row>
    <row r="14" spans="2:11" x14ac:dyDescent="0.3">
      <c r="B14" s="178" t="s">
        <v>228</v>
      </c>
      <c r="C14" s="138" t="s">
        <v>229</v>
      </c>
      <c r="D14" s="141">
        <f>+'7c LDF'!J14</f>
        <v>172662874</v>
      </c>
      <c r="E14" s="136">
        <f t="shared" si="2"/>
        <v>177842760.22</v>
      </c>
      <c r="F14" s="136">
        <f t="shared" si="2"/>
        <v>183178043.0266</v>
      </c>
      <c r="G14" s="136">
        <f t="shared" si="2"/>
        <v>188673384.31739801</v>
      </c>
      <c r="H14" s="136">
        <f t="shared" si="2"/>
        <v>194333585.84691995</v>
      </c>
      <c r="I14" s="177">
        <f t="shared" si="1"/>
        <v>200163593.42232755</v>
      </c>
    </row>
    <row r="15" spans="2:11" x14ac:dyDescent="0.3">
      <c r="B15" s="178" t="s">
        <v>230</v>
      </c>
      <c r="C15" s="138" t="s">
        <v>231</v>
      </c>
      <c r="D15" s="141"/>
      <c r="E15" s="136"/>
      <c r="F15" s="136"/>
      <c r="G15" s="136"/>
      <c r="H15" s="136"/>
      <c r="I15" s="177"/>
    </row>
    <row r="16" spans="2:11" x14ac:dyDescent="0.3">
      <c r="B16" s="178" t="s">
        <v>232</v>
      </c>
      <c r="C16" s="138" t="s">
        <v>233</v>
      </c>
      <c r="D16" s="141">
        <f>+'7c LDF'!J16</f>
        <v>11279502048</v>
      </c>
      <c r="E16" s="157">
        <f>(D16+(D16*3%))-200000000</f>
        <v>11417887109.440001</v>
      </c>
      <c r="F16" s="157">
        <f t="shared" ref="F16:H17" si="3">+E16+(E16*3%)</f>
        <v>11760423722.7232</v>
      </c>
      <c r="G16" s="157">
        <f t="shared" si="3"/>
        <v>12113236434.404896</v>
      </c>
      <c r="H16" s="157">
        <f t="shared" si="3"/>
        <v>12476633527.437042</v>
      </c>
      <c r="I16" s="177">
        <f t="shared" si="1"/>
        <v>12850932533.260153</v>
      </c>
      <c r="K16" s="158">
        <v>-200000000</v>
      </c>
    </row>
    <row r="17" spans="2:9" x14ac:dyDescent="0.3">
      <c r="B17" s="178" t="s">
        <v>234</v>
      </c>
      <c r="C17" s="159" t="s">
        <v>235</v>
      </c>
      <c r="D17" s="160">
        <f>+'7c LDF'!J17</f>
        <v>217747623</v>
      </c>
      <c r="E17" s="136">
        <f>+D17+(D17*3%)</f>
        <v>224280051.69</v>
      </c>
      <c r="F17" s="136">
        <f t="shared" si="3"/>
        <v>231008453.24070001</v>
      </c>
      <c r="G17" s="136">
        <f t="shared" si="3"/>
        <v>237938706.83792099</v>
      </c>
      <c r="H17" s="136">
        <f t="shared" si="3"/>
        <v>245076868.04305863</v>
      </c>
      <c r="I17" s="177">
        <f t="shared" si="1"/>
        <v>252429174.08435041</v>
      </c>
    </row>
    <row r="18" spans="2:9" x14ac:dyDescent="0.3">
      <c r="B18" s="178" t="s">
        <v>236</v>
      </c>
      <c r="C18" s="138" t="s">
        <v>237</v>
      </c>
      <c r="D18" s="141"/>
      <c r="E18" s="136"/>
      <c r="F18" s="136"/>
      <c r="G18" s="136"/>
      <c r="H18" s="136"/>
      <c r="I18" s="177"/>
    </row>
    <row r="19" spans="2:9" x14ac:dyDescent="0.3">
      <c r="B19" s="178" t="s">
        <v>238</v>
      </c>
      <c r="C19" s="138" t="s">
        <v>239</v>
      </c>
      <c r="D19" s="141"/>
      <c r="E19" s="136"/>
      <c r="F19" s="136"/>
      <c r="G19" s="136"/>
      <c r="H19" s="136"/>
      <c r="I19" s="177"/>
    </row>
    <row r="20" spans="2:9" x14ac:dyDescent="0.3">
      <c r="B20" s="178" t="s">
        <v>240</v>
      </c>
      <c r="C20" s="138" t="s">
        <v>241</v>
      </c>
      <c r="D20" s="141">
        <f>+'7c LDF'!J20</f>
        <v>74090878</v>
      </c>
      <c r="E20" s="136"/>
      <c r="F20" s="136"/>
      <c r="G20" s="136"/>
      <c r="H20" s="136"/>
      <c r="I20" s="177"/>
    </row>
    <row r="21" spans="2:9" x14ac:dyDescent="0.3">
      <c r="B21" s="179"/>
      <c r="C21" s="138"/>
      <c r="D21" s="156"/>
      <c r="E21" s="136"/>
      <c r="F21" s="136"/>
      <c r="G21" s="136"/>
      <c r="H21" s="136"/>
      <c r="I21" s="177"/>
    </row>
    <row r="22" spans="2:9" x14ac:dyDescent="0.3">
      <c r="B22" s="180" t="s">
        <v>242</v>
      </c>
      <c r="C22" s="135"/>
      <c r="D22" s="133">
        <f t="shared" ref="D22" si="4">+D23+D24+D25+D26+D27+D28</f>
        <v>14825047949</v>
      </c>
      <c r="E22" s="133">
        <f>+E23+E24+E25+E26+E27+E28</f>
        <v>15269799387.470001</v>
      </c>
      <c r="F22" s="133">
        <f>+F23+F24+F25+F26+F27+F28</f>
        <v>15727893369.094101</v>
      </c>
      <c r="G22" s="133">
        <f>+G23+G24+G25+G26+G27+G28</f>
        <v>16199730170.166924</v>
      </c>
      <c r="H22" s="133">
        <f>+H23+H24+H25+H26+H27+H28</f>
        <v>16685722075.271931</v>
      </c>
      <c r="I22" s="175">
        <f>+I23+I24+I25+I26+I27+I28</f>
        <v>17186293737.53009</v>
      </c>
    </row>
    <row r="23" spans="2:9" x14ac:dyDescent="0.3">
      <c r="B23" s="181"/>
      <c r="C23" s="138" t="s">
        <v>243</v>
      </c>
      <c r="D23" s="161"/>
      <c r="E23" s="133"/>
      <c r="F23" s="133"/>
      <c r="G23" s="133"/>
      <c r="H23" s="133"/>
      <c r="I23" s="175"/>
    </row>
    <row r="24" spans="2:9" x14ac:dyDescent="0.3">
      <c r="B24" s="178" t="s">
        <v>217</v>
      </c>
      <c r="C24" s="138" t="s">
        <v>244</v>
      </c>
      <c r="D24" s="141">
        <f>+'7c LDF'!J24</f>
        <v>12675278842</v>
      </c>
      <c r="E24" s="136">
        <f t="shared" ref="E24:I25" si="5">+D24+(D24*3%)</f>
        <v>13055537207.26</v>
      </c>
      <c r="F24" s="136">
        <f t="shared" si="5"/>
        <v>13447203323.4778</v>
      </c>
      <c r="G24" s="136">
        <f t="shared" si="5"/>
        <v>13850619423.182135</v>
      </c>
      <c r="H24" s="136">
        <f t="shared" si="5"/>
        <v>14266138005.877598</v>
      </c>
      <c r="I24" s="177">
        <f t="shared" si="5"/>
        <v>14694122146.053926</v>
      </c>
    </row>
    <row r="25" spans="2:9" x14ac:dyDescent="0.3">
      <c r="B25" s="178" t="s">
        <v>219</v>
      </c>
      <c r="C25" s="138" t="s">
        <v>239</v>
      </c>
      <c r="D25" s="141">
        <f>+'7c LDF'!J25</f>
        <v>2149769107</v>
      </c>
      <c r="E25" s="136">
        <f t="shared" si="5"/>
        <v>2214262180.21</v>
      </c>
      <c r="F25" s="136">
        <f t="shared" si="5"/>
        <v>2280690045.6163001</v>
      </c>
      <c r="G25" s="136">
        <f t="shared" si="5"/>
        <v>2349110746.9847889</v>
      </c>
      <c r="H25" s="136">
        <f t="shared" si="5"/>
        <v>2419584069.3943324</v>
      </c>
      <c r="I25" s="177">
        <f t="shared" si="5"/>
        <v>2492171591.4761624</v>
      </c>
    </row>
    <row r="26" spans="2:9" x14ac:dyDescent="0.3">
      <c r="B26" s="178" t="s">
        <v>221</v>
      </c>
      <c r="C26" s="138" t="s">
        <v>245</v>
      </c>
      <c r="D26" s="161"/>
      <c r="E26" s="133"/>
      <c r="F26" s="133"/>
      <c r="G26" s="133"/>
      <c r="H26" s="133"/>
      <c r="I26" s="175"/>
    </row>
    <row r="27" spans="2:9" x14ac:dyDescent="0.3">
      <c r="B27" s="178" t="s">
        <v>223</v>
      </c>
      <c r="C27" s="138" t="s">
        <v>246</v>
      </c>
      <c r="D27" s="161"/>
      <c r="E27" s="133"/>
      <c r="F27" s="133"/>
      <c r="G27" s="133"/>
      <c r="H27" s="133"/>
      <c r="I27" s="175"/>
    </row>
    <row r="28" spans="2:9" x14ac:dyDescent="0.3">
      <c r="B28" s="178" t="s">
        <v>225</v>
      </c>
      <c r="C28" s="138" t="s">
        <v>247</v>
      </c>
      <c r="D28" s="161"/>
      <c r="E28" s="133"/>
      <c r="F28" s="133"/>
      <c r="G28" s="133"/>
      <c r="H28" s="133"/>
      <c r="I28" s="175"/>
    </row>
    <row r="29" spans="2:9" x14ac:dyDescent="0.3">
      <c r="B29" s="179"/>
      <c r="C29" s="138"/>
      <c r="D29" s="161"/>
      <c r="E29" s="133"/>
      <c r="F29" s="133"/>
      <c r="G29" s="133"/>
      <c r="H29" s="133"/>
      <c r="I29" s="175"/>
    </row>
    <row r="30" spans="2:9" x14ac:dyDescent="0.3">
      <c r="B30" s="180" t="s">
        <v>248</v>
      </c>
      <c r="C30" s="135"/>
      <c r="D30" s="133">
        <f t="shared" ref="D30" si="6">+D31</f>
        <v>0</v>
      </c>
      <c r="E30" s="133">
        <f>+E31</f>
        <v>0</v>
      </c>
      <c r="F30" s="133">
        <f>+F31</f>
        <v>0</v>
      </c>
      <c r="G30" s="133">
        <f>+G31</f>
        <v>0</v>
      </c>
      <c r="H30" s="133">
        <f>+H31</f>
        <v>0</v>
      </c>
      <c r="I30" s="175">
        <f>+I31</f>
        <v>0</v>
      </c>
    </row>
    <row r="31" spans="2:9" x14ac:dyDescent="0.3">
      <c r="B31" s="178" t="s">
        <v>217</v>
      </c>
      <c r="C31" s="138" t="s">
        <v>249</v>
      </c>
      <c r="D31" s="136">
        <v>0</v>
      </c>
      <c r="E31" s="133"/>
      <c r="F31" s="133"/>
      <c r="G31" s="133"/>
      <c r="H31" s="133"/>
      <c r="I31" s="175"/>
    </row>
    <row r="32" spans="2:9" x14ac:dyDescent="0.3">
      <c r="B32" s="179"/>
      <c r="C32" s="138"/>
      <c r="D32" s="161"/>
      <c r="E32" s="133"/>
      <c r="F32" s="133"/>
      <c r="G32" s="133"/>
      <c r="H32" s="133"/>
      <c r="I32" s="175"/>
    </row>
    <row r="33" spans="2:9" x14ac:dyDescent="0.3">
      <c r="B33" s="176" t="s">
        <v>257</v>
      </c>
      <c r="C33" s="135"/>
      <c r="D33" s="187">
        <f t="shared" ref="D33" si="7">+D7+D22+D30</f>
        <v>29833418917</v>
      </c>
      <c r="E33" s="133">
        <f>+E7+E22+E30</f>
        <v>30414182500.937618</v>
      </c>
      <c r="F33" s="133">
        <f>+F7+F22+F30</f>
        <v>31288682465.130253</v>
      </c>
      <c r="G33" s="133">
        <f>+G7+G22+G30</f>
        <v>32189417591.886814</v>
      </c>
      <c r="H33" s="133">
        <f>+H7+H22+H30</f>
        <v>33117174742.803894</v>
      </c>
      <c r="I33" s="175">
        <f>+I7+I22+I30</f>
        <v>34072764615.642445</v>
      </c>
    </row>
    <row r="34" spans="2:9" x14ac:dyDescent="0.3">
      <c r="B34" s="179"/>
      <c r="C34" s="138"/>
      <c r="D34" s="156"/>
      <c r="E34" s="136"/>
      <c r="F34" s="136"/>
      <c r="G34" s="136"/>
      <c r="H34" s="136"/>
      <c r="I34" s="177"/>
    </row>
    <row r="35" spans="2:9" x14ac:dyDescent="0.3">
      <c r="B35" s="179" t="s">
        <v>251</v>
      </c>
      <c r="C35" s="138"/>
      <c r="D35" s="156"/>
      <c r="E35" s="136"/>
      <c r="F35" s="136"/>
      <c r="G35" s="136"/>
      <c r="H35" s="136"/>
      <c r="I35" s="177"/>
    </row>
    <row r="36" spans="2:9" ht="33" customHeight="1" x14ac:dyDescent="0.3">
      <c r="B36" s="204" t="s">
        <v>252</v>
      </c>
      <c r="C36" s="205"/>
      <c r="D36" s="156"/>
      <c r="E36" s="136"/>
      <c r="F36" s="136"/>
      <c r="G36" s="136"/>
      <c r="H36" s="136"/>
      <c r="I36" s="177"/>
    </row>
    <row r="37" spans="2:9" ht="33.75" customHeight="1" x14ac:dyDescent="0.3">
      <c r="B37" s="204" t="s">
        <v>253</v>
      </c>
      <c r="C37" s="205"/>
      <c r="D37" s="156"/>
      <c r="E37" s="136"/>
      <c r="F37" s="136"/>
      <c r="G37" s="136"/>
      <c r="H37" s="136"/>
      <c r="I37" s="177"/>
    </row>
    <row r="38" spans="2:9" ht="17.25" thickBot="1" x14ac:dyDescent="0.35">
      <c r="B38" s="182" t="s">
        <v>254</v>
      </c>
      <c r="C38" s="183"/>
      <c r="D38" s="184"/>
      <c r="E38" s="185"/>
      <c r="F38" s="185"/>
      <c r="G38" s="185"/>
      <c r="H38" s="185"/>
      <c r="I38" s="186"/>
    </row>
  </sheetData>
  <mergeCells count="7">
    <mergeCell ref="B37:C37"/>
    <mergeCell ref="B1:I1"/>
    <mergeCell ref="B2:I2"/>
    <mergeCell ref="B3:I3"/>
    <mergeCell ref="B4:I4"/>
    <mergeCell ref="D5:I5"/>
    <mergeCell ref="B36:C36"/>
  </mergeCells>
  <pageMargins left="0.7" right="0.7" top="0.75" bottom="0.75" header="0.3" footer="0.3"/>
  <pageSetup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showGridLines="0" topLeftCell="B22" workbookViewId="0">
      <selection activeCell="B40" sqref="B40"/>
    </sheetView>
  </sheetViews>
  <sheetFormatPr baseColWidth="10" defaultRowHeight="16.5" x14ac:dyDescent="0.3"/>
  <cols>
    <col min="1" max="1" width="3.5703125" style="124" customWidth="1"/>
    <col min="2" max="2" width="11.42578125" style="124"/>
    <col min="3" max="3" width="48" style="124" customWidth="1"/>
    <col min="4" max="4" width="17.140625" style="124" hidden="1" customWidth="1"/>
    <col min="5" max="8" width="17.140625" style="124" bestFit="1" customWidth="1"/>
    <col min="9" max="9" width="17.140625" style="124" customWidth="1"/>
    <col min="10" max="10" width="17.140625" style="124" bestFit="1" customWidth="1"/>
    <col min="11" max="11" width="13.85546875" style="124" bestFit="1" customWidth="1"/>
    <col min="12" max="16384" width="11.42578125" style="124"/>
  </cols>
  <sheetData>
    <row r="1" spans="2:13" ht="22.5" customHeight="1" x14ac:dyDescent="0.3">
      <c r="B1" s="206" t="s">
        <v>208</v>
      </c>
      <c r="C1" s="207"/>
      <c r="D1" s="207"/>
      <c r="E1" s="207"/>
      <c r="F1" s="207"/>
      <c r="G1" s="207"/>
      <c r="H1" s="207"/>
      <c r="I1" s="207"/>
      <c r="J1" s="208"/>
    </row>
    <row r="2" spans="2:13" ht="24" customHeight="1" x14ac:dyDescent="0.3">
      <c r="B2" s="209" t="s">
        <v>209</v>
      </c>
      <c r="C2" s="210"/>
      <c r="D2" s="210"/>
      <c r="E2" s="210"/>
      <c r="F2" s="210"/>
      <c r="G2" s="210"/>
      <c r="H2" s="210"/>
      <c r="I2" s="210"/>
      <c r="J2" s="211"/>
    </row>
    <row r="3" spans="2:13" ht="18" customHeight="1" x14ac:dyDescent="0.3">
      <c r="B3" s="209" t="s">
        <v>210</v>
      </c>
      <c r="C3" s="210"/>
      <c r="D3" s="210"/>
      <c r="E3" s="210"/>
      <c r="F3" s="210"/>
      <c r="G3" s="210"/>
      <c r="H3" s="210"/>
      <c r="I3" s="210"/>
      <c r="J3" s="211"/>
    </row>
    <row r="4" spans="2:13" ht="17.25" thickBot="1" x14ac:dyDescent="0.35">
      <c r="B4" s="216" t="s">
        <v>211</v>
      </c>
      <c r="C4" s="217"/>
      <c r="D4" s="217"/>
      <c r="E4" s="217"/>
      <c r="F4" s="217"/>
      <c r="G4" s="217"/>
      <c r="H4" s="217"/>
      <c r="I4" s="217"/>
      <c r="J4" s="218"/>
    </row>
    <row r="5" spans="2:13" x14ac:dyDescent="0.3">
      <c r="B5" s="125"/>
      <c r="C5" s="126"/>
      <c r="D5" s="126"/>
      <c r="E5" s="219" t="s">
        <v>212</v>
      </c>
      <c r="F5" s="219"/>
      <c r="G5" s="219"/>
      <c r="H5" s="219"/>
      <c r="I5" s="219"/>
      <c r="J5" s="220"/>
    </row>
    <row r="6" spans="2:13" ht="35.25" customHeight="1" x14ac:dyDescent="0.3">
      <c r="B6" s="127"/>
      <c r="C6" s="128"/>
      <c r="D6" s="129">
        <v>2012</v>
      </c>
      <c r="E6" s="130">
        <v>2014</v>
      </c>
      <c r="F6" s="130">
        <v>2015</v>
      </c>
      <c r="G6" s="130">
        <v>2016</v>
      </c>
      <c r="H6" s="130">
        <v>2017</v>
      </c>
      <c r="I6" s="130" t="s">
        <v>213</v>
      </c>
      <c r="J6" s="129" t="s">
        <v>214</v>
      </c>
    </row>
    <row r="7" spans="2:13" x14ac:dyDescent="0.3">
      <c r="B7" s="131" t="s">
        <v>215</v>
      </c>
      <c r="C7" s="132"/>
      <c r="D7" s="133">
        <f>+D9+D10+D11+D12+D13+D14+D15+D16+D17+D18+D19+D20</f>
        <v>8197642671</v>
      </c>
      <c r="E7" s="133">
        <f t="shared" ref="E7:J7" si="0">+E9+E10+E11+E12+E13+E14+E15+E16+E17+E18+E19+E20</f>
        <v>8882770133</v>
      </c>
      <c r="F7" s="133">
        <f t="shared" si="0"/>
        <v>9362324174.9799995</v>
      </c>
      <c r="G7" s="133">
        <f t="shared" si="0"/>
        <v>10822972294</v>
      </c>
      <c r="H7" s="133">
        <f t="shared" si="0"/>
        <v>12604095420</v>
      </c>
      <c r="I7" s="133">
        <f t="shared" si="0"/>
        <v>13391426041.252201</v>
      </c>
      <c r="J7" s="133">
        <f t="shared" si="0"/>
        <v>15008370968</v>
      </c>
    </row>
    <row r="8" spans="2:13" x14ac:dyDescent="0.3">
      <c r="B8" s="134"/>
      <c r="C8" s="135" t="s">
        <v>216</v>
      </c>
      <c r="D8" s="136"/>
      <c r="E8" s="136"/>
      <c r="F8" s="136"/>
      <c r="G8" s="136"/>
      <c r="H8" s="136"/>
      <c r="I8" s="136"/>
      <c r="J8" s="136"/>
    </row>
    <row r="9" spans="2:13" x14ac:dyDescent="0.3">
      <c r="B9" s="137" t="s">
        <v>217</v>
      </c>
      <c r="C9" s="138" t="s">
        <v>218</v>
      </c>
      <c r="D9" s="136">
        <v>473843999</v>
      </c>
      <c r="E9" s="136">
        <v>442717540</v>
      </c>
      <c r="F9" s="136">
        <v>375551421</v>
      </c>
      <c r="G9" s="136">
        <v>424203835</v>
      </c>
      <c r="H9" s="136">
        <v>970802081</v>
      </c>
      <c r="I9" s="136">
        <v>1019180501.9636505</v>
      </c>
      <c r="J9" s="136">
        <f>+'LI 2019'!E6</f>
        <v>2324528463</v>
      </c>
    </row>
    <row r="10" spans="2:13" x14ac:dyDescent="0.3">
      <c r="B10" s="137" t="s">
        <v>219</v>
      </c>
      <c r="C10" s="138" t="s">
        <v>220</v>
      </c>
      <c r="D10" s="136">
        <v>0</v>
      </c>
      <c r="E10" s="136"/>
      <c r="F10" s="136"/>
      <c r="G10" s="136"/>
      <c r="H10" s="136"/>
      <c r="I10" s="136"/>
      <c r="J10" s="136"/>
    </row>
    <row r="11" spans="2:13" x14ac:dyDescent="0.3">
      <c r="B11" s="137" t="s">
        <v>221</v>
      </c>
      <c r="C11" s="138" t="s">
        <v>222</v>
      </c>
      <c r="D11" s="136">
        <v>225886352</v>
      </c>
      <c r="E11" s="136">
        <v>148044615</v>
      </c>
      <c r="F11" s="136">
        <v>108179219.48999999</v>
      </c>
      <c r="G11" s="136">
        <v>99531027</v>
      </c>
      <c r="H11" s="136">
        <v>146430400</v>
      </c>
      <c r="I11" s="136">
        <v>135859050.43156248</v>
      </c>
      <c r="J11" s="136">
        <f>+'LI 2019'!E28</f>
        <v>110000000</v>
      </c>
    </row>
    <row r="12" spans="2:13" x14ac:dyDescent="0.3">
      <c r="B12" s="137" t="s">
        <v>223</v>
      </c>
      <c r="C12" s="138" t="s">
        <v>224</v>
      </c>
      <c r="D12" s="136">
        <v>423675192</v>
      </c>
      <c r="E12" s="136">
        <v>424925018</v>
      </c>
      <c r="F12" s="136">
        <v>469648436.49000001</v>
      </c>
      <c r="G12" s="136">
        <v>522235836</v>
      </c>
      <c r="H12" s="136">
        <v>592520331</v>
      </c>
      <c r="I12" s="136">
        <v>664787331.86346829</v>
      </c>
      <c r="J12" s="136">
        <f>+'LI 2019'!E35</f>
        <v>797093011</v>
      </c>
    </row>
    <row r="13" spans="2:13" x14ac:dyDescent="0.3">
      <c r="B13" s="137" t="s">
        <v>225</v>
      </c>
      <c r="C13" s="138" t="s">
        <v>226</v>
      </c>
      <c r="D13" s="136">
        <v>48767696</v>
      </c>
      <c r="E13" s="136">
        <v>25825969</v>
      </c>
      <c r="F13" s="136">
        <v>25624045</v>
      </c>
      <c r="G13" s="136">
        <v>26101018</v>
      </c>
      <c r="H13" s="136">
        <v>103166371</v>
      </c>
      <c r="I13" s="136">
        <v>35614673.496562496</v>
      </c>
      <c r="J13" s="136">
        <f>+'LI 2019'!E58</f>
        <v>32746071</v>
      </c>
      <c r="L13" s="139"/>
      <c r="M13" s="124" t="s">
        <v>227</v>
      </c>
    </row>
    <row r="14" spans="2:13" x14ac:dyDescent="0.3">
      <c r="B14" s="137" t="s">
        <v>228</v>
      </c>
      <c r="C14" s="138" t="s">
        <v>229</v>
      </c>
      <c r="D14" s="136">
        <f>841910583-D17</f>
        <v>338414865</v>
      </c>
      <c r="E14" s="136">
        <f>537674117-E17</f>
        <v>331943935</v>
      </c>
      <c r="F14" s="136">
        <f>492739535-F17</f>
        <v>303520483</v>
      </c>
      <c r="G14" s="136">
        <f>423508487-165584124</f>
        <v>257924363</v>
      </c>
      <c r="H14" s="136">
        <f>485853363-H17</f>
        <v>275134506</v>
      </c>
      <c r="I14" s="136">
        <v>311152376.21937501</v>
      </c>
      <c r="J14" s="136">
        <f>+'LI 2019'!E78-'LI 2019'!E79</f>
        <v>172662874</v>
      </c>
      <c r="K14" s="140"/>
    </row>
    <row r="15" spans="2:13" x14ac:dyDescent="0.3">
      <c r="B15" s="137" t="s">
        <v>230</v>
      </c>
      <c r="C15" s="138" t="s">
        <v>231</v>
      </c>
      <c r="D15" s="136">
        <v>0</v>
      </c>
      <c r="E15" s="136"/>
      <c r="F15" s="136"/>
      <c r="G15" s="136"/>
      <c r="H15" s="136"/>
      <c r="I15" s="136"/>
      <c r="J15" s="136"/>
    </row>
    <row r="16" spans="2:13" x14ac:dyDescent="0.3">
      <c r="B16" s="137" t="s">
        <v>232</v>
      </c>
      <c r="C16" s="138" t="s">
        <v>233</v>
      </c>
      <c r="D16" s="136">
        <v>6182973849</v>
      </c>
      <c r="E16" s="136">
        <v>7303582874</v>
      </c>
      <c r="F16" s="136">
        <v>7890581518</v>
      </c>
      <c r="G16" s="136">
        <f>9327392091</f>
        <v>9327392091</v>
      </c>
      <c r="H16" s="136">
        <v>10117593733</v>
      </c>
      <c r="I16" s="136">
        <v>10901021803.98</v>
      </c>
      <c r="J16" s="136">
        <f>+'LI 2019'!E93</f>
        <v>11279502048</v>
      </c>
    </row>
    <row r="17" spans="2:10" x14ac:dyDescent="0.3">
      <c r="B17" s="137" t="s">
        <v>234</v>
      </c>
      <c r="C17" s="138" t="s">
        <v>235</v>
      </c>
      <c r="D17" s="141">
        <v>503495718</v>
      </c>
      <c r="E17" s="136">
        <v>205730182</v>
      </c>
      <c r="F17" s="136">
        <v>189219052</v>
      </c>
      <c r="G17" s="136">
        <v>165584124</v>
      </c>
      <c r="H17" s="141">
        <f>126817425+83901432</f>
        <v>210718857</v>
      </c>
      <c r="I17" s="136">
        <v>158677585.53625003</v>
      </c>
      <c r="J17" s="136">
        <f>+'LI 2019'!E116</f>
        <v>217747623</v>
      </c>
    </row>
    <row r="18" spans="2:10" x14ac:dyDescent="0.3">
      <c r="B18" s="137" t="s">
        <v>236</v>
      </c>
      <c r="C18" s="138" t="s">
        <v>237</v>
      </c>
      <c r="D18" s="136"/>
      <c r="E18" s="136"/>
      <c r="F18" s="136"/>
      <c r="G18" s="136"/>
      <c r="H18" s="136"/>
      <c r="I18" s="136"/>
      <c r="J18" s="136"/>
    </row>
    <row r="19" spans="2:10" x14ac:dyDescent="0.3">
      <c r="B19" s="137" t="s">
        <v>238</v>
      </c>
      <c r="C19" s="138" t="s">
        <v>239</v>
      </c>
      <c r="D19" s="136"/>
      <c r="E19" s="136"/>
      <c r="F19" s="136"/>
      <c r="G19" s="136"/>
      <c r="H19" s="136"/>
      <c r="I19" s="136"/>
      <c r="J19" s="136"/>
    </row>
    <row r="20" spans="2:10" x14ac:dyDescent="0.3">
      <c r="B20" s="137" t="s">
        <v>240</v>
      </c>
      <c r="C20" s="138" t="s">
        <v>241</v>
      </c>
      <c r="D20" s="136">
        <v>585000</v>
      </c>
      <c r="E20" s="136"/>
      <c r="F20" s="136"/>
      <c r="G20" s="136"/>
      <c r="H20" s="136">
        <v>187729141</v>
      </c>
      <c r="I20" s="136">
        <v>165132717.76133332</v>
      </c>
      <c r="J20" s="136">
        <f>+'LI 2019'!E125</f>
        <v>74090878</v>
      </c>
    </row>
    <row r="21" spans="2:10" x14ac:dyDescent="0.3">
      <c r="B21" s="142"/>
      <c r="C21" s="138"/>
      <c r="D21" s="136"/>
      <c r="E21" s="136"/>
      <c r="F21" s="136"/>
      <c r="G21" s="136"/>
      <c r="H21" s="136"/>
      <c r="I21" s="136"/>
      <c r="J21" s="136"/>
    </row>
    <row r="22" spans="2:10" x14ac:dyDescent="0.3">
      <c r="B22" s="143" t="s">
        <v>242</v>
      </c>
      <c r="C22" s="135"/>
      <c r="D22" s="133">
        <f>+D23+D24+D25+D26+D27+D28</f>
        <v>14500400567</v>
      </c>
      <c r="E22" s="133">
        <f t="shared" ref="E22:J22" si="1">+E23+E24+E25+E26+E27+E28</f>
        <v>19048451021</v>
      </c>
      <c r="F22" s="133">
        <f t="shared" si="1"/>
        <v>19653065185</v>
      </c>
      <c r="G22" s="133">
        <f t="shared" si="1"/>
        <v>21367965746</v>
      </c>
      <c r="H22" s="133">
        <f t="shared" si="1"/>
        <v>18444022078</v>
      </c>
      <c r="I22" s="133">
        <f t="shared" si="1"/>
        <v>18997166952.294998</v>
      </c>
      <c r="J22" s="133">
        <f t="shared" si="1"/>
        <v>14825047949</v>
      </c>
    </row>
    <row r="23" spans="2:10" x14ac:dyDescent="0.3">
      <c r="B23" s="144"/>
      <c r="C23" s="138" t="s">
        <v>243</v>
      </c>
      <c r="D23" s="133"/>
      <c r="E23" s="133"/>
      <c r="F23" s="133"/>
      <c r="G23" s="133"/>
      <c r="H23" s="133"/>
      <c r="I23" s="133"/>
      <c r="J23" s="133"/>
    </row>
    <row r="24" spans="2:10" x14ac:dyDescent="0.3">
      <c r="B24" s="137" t="s">
        <v>217</v>
      </c>
      <c r="C24" s="138" t="s">
        <v>244</v>
      </c>
      <c r="D24" s="141">
        <v>9485240213</v>
      </c>
      <c r="E24" s="136">
        <v>10326988741</v>
      </c>
      <c r="F24" s="136">
        <v>10815959817</v>
      </c>
      <c r="G24" s="136">
        <f>11676022406</f>
        <v>11676022406</v>
      </c>
      <c r="H24" s="141">
        <v>11730636993</v>
      </c>
      <c r="I24" s="141">
        <v>11728673373.599998</v>
      </c>
      <c r="J24" s="136">
        <f>+'LI 2019'!E104</f>
        <v>12675278842</v>
      </c>
    </row>
    <row r="25" spans="2:10" x14ac:dyDescent="0.3">
      <c r="B25" s="137" t="s">
        <v>219</v>
      </c>
      <c r="C25" s="138" t="s">
        <v>239</v>
      </c>
      <c r="D25" s="136">
        <v>4863668073</v>
      </c>
      <c r="E25" s="136">
        <v>8721462280</v>
      </c>
      <c r="F25" s="136">
        <v>8837105368</v>
      </c>
      <c r="G25" s="136">
        <v>9691943340</v>
      </c>
      <c r="H25" s="136">
        <v>6713385085</v>
      </c>
      <c r="I25" s="136">
        <v>7245176438.9750004</v>
      </c>
      <c r="J25" s="136">
        <f>+'LI 2019'!E113</f>
        <v>2149769107</v>
      </c>
    </row>
    <row r="26" spans="2:10" x14ac:dyDescent="0.3">
      <c r="B26" s="137" t="s">
        <v>221</v>
      </c>
      <c r="C26" s="138" t="s">
        <v>245</v>
      </c>
      <c r="D26" s="136"/>
      <c r="E26" s="133"/>
      <c r="F26" s="133"/>
      <c r="G26" s="133"/>
      <c r="H26" s="133"/>
      <c r="I26" s="133"/>
      <c r="J26" s="133"/>
    </row>
    <row r="27" spans="2:10" x14ac:dyDescent="0.3">
      <c r="B27" s="137" t="s">
        <v>223</v>
      </c>
      <c r="C27" s="138" t="s">
        <v>246</v>
      </c>
      <c r="D27" s="136">
        <v>151492281</v>
      </c>
      <c r="E27" s="133"/>
      <c r="F27" s="133"/>
      <c r="G27" s="133"/>
      <c r="H27" s="133"/>
      <c r="I27" s="133">
        <v>23317139.719999999</v>
      </c>
      <c r="J27" s="133"/>
    </row>
    <row r="28" spans="2:10" x14ac:dyDescent="0.3">
      <c r="B28" s="137" t="s">
        <v>225</v>
      </c>
      <c r="C28" s="138" t="s">
        <v>247</v>
      </c>
      <c r="D28" s="133"/>
      <c r="E28" s="133"/>
      <c r="F28" s="133"/>
      <c r="G28" s="133"/>
      <c r="H28" s="133"/>
      <c r="I28" s="133"/>
      <c r="J28" s="133"/>
    </row>
    <row r="29" spans="2:10" x14ac:dyDescent="0.3">
      <c r="B29" s="142"/>
      <c r="C29" s="138"/>
      <c r="D29" s="133"/>
      <c r="E29" s="133"/>
      <c r="F29" s="133"/>
      <c r="G29" s="133"/>
      <c r="H29" s="133"/>
      <c r="I29" s="133"/>
      <c r="J29" s="133"/>
    </row>
    <row r="30" spans="2:10" x14ac:dyDescent="0.3">
      <c r="B30" s="143" t="s">
        <v>248</v>
      </c>
      <c r="C30" s="135"/>
      <c r="D30" s="133">
        <f>+D31</f>
        <v>3258531497</v>
      </c>
      <c r="E30" s="133">
        <f t="shared" ref="E30:J30" si="2">+E31</f>
        <v>765218847</v>
      </c>
      <c r="F30" s="133">
        <f t="shared" si="2"/>
        <v>802686254</v>
      </c>
      <c r="G30" s="133">
        <f t="shared" si="2"/>
        <v>2301058951</v>
      </c>
      <c r="H30" s="133">
        <f t="shared" si="2"/>
        <v>7336862760</v>
      </c>
      <c r="I30" s="133">
        <f t="shared" si="2"/>
        <v>0</v>
      </c>
      <c r="J30" s="133">
        <f t="shared" si="2"/>
        <v>0</v>
      </c>
    </row>
    <row r="31" spans="2:10" x14ac:dyDescent="0.3">
      <c r="B31" s="137" t="s">
        <v>217</v>
      </c>
      <c r="C31" s="138" t="s">
        <v>249</v>
      </c>
      <c r="D31" s="136">
        <v>3258531497</v>
      </c>
      <c r="E31" s="136">
        <v>765218847</v>
      </c>
      <c r="F31" s="136">
        <v>802686254</v>
      </c>
      <c r="G31" s="136">
        <v>2301058951</v>
      </c>
      <c r="H31" s="136">
        <v>7336862760</v>
      </c>
      <c r="I31" s="136">
        <v>0</v>
      </c>
      <c r="J31" s="136">
        <v>0</v>
      </c>
    </row>
    <row r="32" spans="2:10" x14ac:dyDescent="0.3">
      <c r="B32" s="142"/>
      <c r="C32" s="138"/>
      <c r="D32" s="133"/>
      <c r="E32" s="133"/>
      <c r="F32" s="133"/>
      <c r="G32" s="133"/>
      <c r="H32" s="133"/>
      <c r="I32" s="133"/>
      <c r="J32" s="133"/>
    </row>
    <row r="33" spans="2:11" x14ac:dyDescent="0.3">
      <c r="B33" s="134" t="s">
        <v>250</v>
      </c>
      <c r="C33" s="135"/>
      <c r="D33" s="133">
        <f>+D7+D22+D30</f>
        <v>25956574735</v>
      </c>
      <c r="E33" s="133">
        <f t="shared" ref="E33:J33" si="3">+E7+E22+E30</f>
        <v>28696440001</v>
      </c>
      <c r="F33" s="133">
        <f t="shared" si="3"/>
        <v>29818075613.98</v>
      </c>
      <c r="G33" s="133">
        <f t="shared" si="3"/>
        <v>34491996991</v>
      </c>
      <c r="H33" s="133">
        <f t="shared" si="3"/>
        <v>38384980258</v>
      </c>
      <c r="I33" s="133">
        <f t="shared" si="3"/>
        <v>32388592993.547199</v>
      </c>
      <c r="J33" s="187">
        <f t="shared" si="3"/>
        <v>29833418917</v>
      </c>
    </row>
    <row r="34" spans="2:11" x14ac:dyDescent="0.3">
      <c r="B34" s="142"/>
      <c r="C34" s="138"/>
      <c r="D34" s="136"/>
      <c r="E34" s="136"/>
      <c r="F34" s="136"/>
      <c r="G34" s="136"/>
      <c r="H34" s="136"/>
      <c r="I34" s="136"/>
      <c r="J34" s="136"/>
      <c r="K34" s="140"/>
    </row>
    <row r="35" spans="2:11" x14ac:dyDescent="0.3">
      <c r="B35" s="142" t="s">
        <v>251</v>
      </c>
      <c r="C35" s="138"/>
      <c r="D35" s="136"/>
      <c r="E35" s="136"/>
      <c r="F35" s="136"/>
      <c r="G35" s="136"/>
      <c r="H35" s="136"/>
      <c r="I35" s="136"/>
      <c r="J35" s="136"/>
    </row>
    <row r="36" spans="2:11" ht="28.5" customHeight="1" x14ac:dyDescent="0.3">
      <c r="B36" s="215" t="s">
        <v>252</v>
      </c>
      <c r="C36" s="205"/>
      <c r="D36" s="136"/>
      <c r="E36" s="136"/>
      <c r="F36" s="136"/>
      <c r="G36" s="136"/>
      <c r="H36" s="136"/>
      <c r="I36" s="136"/>
      <c r="J36" s="136"/>
    </row>
    <row r="37" spans="2:11" ht="29.25" customHeight="1" x14ac:dyDescent="0.3">
      <c r="B37" s="215" t="s">
        <v>253</v>
      </c>
      <c r="C37" s="205"/>
      <c r="D37" s="141"/>
      <c r="E37" s="136"/>
      <c r="F37" s="136"/>
      <c r="G37" s="136"/>
      <c r="H37" s="136"/>
      <c r="I37" s="136"/>
      <c r="J37" s="136"/>
    </row>
    <row r="38" spans="2:11" x14ac:dyDescent="0.3">
      <c r="B38" s="145" t="s">
        <v>254</v>
      </c>
      <c r="C38" s="146"/>
      <c r="D38" s="147">
        <f>+D37+D36</f>
        <v>0</v>
      </c>
      <c r="E38" s="147"/>
      <c r="F38" s="147"/>
      <c r="G38" s="147"/>
      <c r="H38" s="147"/>
      <c r="I38" s="147"/>
      <c r="J38" s="147"/>
    </row>
    <row r="39" spans="2:11" x14ac:dyDescent="0.3">
      <c r="C39" s="124" t="s">
        <v>255</v>
      </c>
    </row>
    <row r="40" spans="2:11" x14ac:dyDescent="0.3">
      <c r="J40" s="148"/>
    </row>
    <row r="41" spans="2:11" x14ac:dyDescent="0.3">
      <c r="D41" s="140"/>
      <c r="E41" s="140"/>
      <c r="F41" s="140"/>
      <c r="G41" s="140"/>
      <c r="H41" s="140"/>
      <c r="I41" s="140"/>
      <c r="J41" s="140"/>
    </row>
    <row r="42" spans="2:11" x14ac:dyDescent="0.3">
      <c r="D42" s="149"/>
      <c r="E42" s="149"/>
      <c r="F42" s="149"/>
      <c r="G42" s="149"/>
      <c r="H42" s="149"/>
      <c r="I42" s="149"/>
      <c r="J42" s="149"/>
      <c r="K42" s="149"/>
    </row>
    <row r="43" spans="2:11" x14ac:dyDescent="0.3">
      <c r="D43" s="150"/>
      <c r="E43" s="150"/>
      <c r="F43" s="150"/>
      <c r="G43" s="150"/>
      <c r="H43" s="150"/>
      <c r="I43" s="150"/>
      <c r="J43" s="150"/>
    </row>
    <row r="44" spans="2:11" x14ac:dyDescent="0.3">
      <c r="G44" s="140"/>
      <c r="H44" s="140"/>
      <c r="I44" s="140"/>
    </row>
    <row r="48" spans="2:11" x14ac:dyDescent="0.3">
      <c r="D48" s="140"/>
    </row>
  </sheetData>
  <mergeCells count="7">
    <mergeCell ref="B37:C37"/>
    <mergeCell ref="B1:J1"/>
    <mergeCell ref="B2:J2"/>
    <mergeCell ref="B3:J3"/>
    <mergeCell ref="B4:J4"/>
    <mergeCell ref="E5:J5"/>
    <mergeCell ref="B36:C36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LI 2019</vt:lpstr>
      <vt:lpstr>7b LDF</vt:lpstr>
      <vt:lpstr>7c LDF</vt:lpstr>
      <vt:lpstr>'7b LDF'!Área_de_impresión</vt:lpstr>
      <vt:lpstr>'7c LDF'!Área_de_impresión</vt:lpstr>
      <vt:lpstr>'LI 2019'!Área_de_impresión</vt:lpstr>
      <vt:lpstr>'LI 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Campos</dc:creator>
  <cp:lastModifiedBy>Jesus Espino</cp:lastModifiedBy>
  <dcterms:created xsi:type="dcterms:W3CDTF">2018-12-27T04:15:47Z</dcterms:created>
  <dcterms:modified xsi:type="dcterms:W3CDTF">2019-01-24T20:51:00Z</dcterms:modified>
</cp:coreProperties>
</file>